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zintraM\Documents\MAJAS LAPA\DOMES_LEMUMI\2018\"/>
    </mc:Choice>
  </mc:AlternateContent>
  <bookViews>
    <workbookView xWindow="0" yWindow="0" windowWidth="28800" windowHeight="12435" tabRatio="882" firstSheet="5" activeTab="5"/>
  </bookViews>
  <sheets>
    <sheet name="Datu ievade" sheetId="1" r:id="rId1"/>
    <sheet name="gadu šķirošana" sheetId="2" state="hidden" r:id="rId2"/>
    <sheet name="Kopējie pieņēmumi" sheetId="3" r:id="rId3"/>
    <sheet name="Aprēķini" sheetId="5" r:id="rId4"/>
    <sheet name="Līdzfinansējums" sheetId="7" r:id="rId5"/>
    <sheet name="Naudas plūsma" sheetId="9" r:id="rId6"/>
    <sheet name="Saimnieciskas pamatdarbibas NP" sheetId="8" r:id="rId7"/>
    <sheet name="Ilgtermina saistibas" sheetId="10" r:id="rId8"/>
    <sheet name="Iedzivotaju maksatspeja" sheetId="11" r:id="rId9"/>
    <sheet name="Projekta naudas plūsma" sheetId="4" r:id="rId10"/>
    <sheet name="Ekonomiskā analīze" sheetId="12" r:id="rId11"/>
    <sheet name="Jutīguma analīze_IIA" sheetId="13" r:id="rId12"/>
    <sheet name="Jutīguma analīze_EA" sheetId="15" r:id="rId13"/>
    <sheet name="Kritēriji" sheetId="14" r:id="rId14"/>
    <sheet name="Compatibility Report" sheetId="16" r:id="rId15"/>
  </sheets>
  <externalReferences>
    <externalReference r:id="rId16"/>
  </externalReferences>
  <definedNames>
    <definedName name="BaseYear">"$#REF!.$D$7"</definedName>
    <definedName name="BillAnnualDomesticSewerage">"$#REF!.$D$17"</definedName>
    <definedName name="BillAnnualDomesticWater">"$#REF!.$D$17"</definedName>
    <definedName name="CF">"$#REF!.$H$2"</definedName>
    <definedName name="CFCase">"$#REF!.$D$13"</definedName>
    <definedName name="CivilReplacementMask">"$#REF!.$L$9:$AO$9"</definedName>
    <definedName name="CostInitial">"$#REF!.$C$19"</definedName>
    <definedName name="CostPercentPipes">"$#REF!.$C$21"</definedName>
    <definedName name="CostPercentPlant">"$#REF!.$C$22"</definedName>
    <definedName name="CostWaterAsPercentTotal">"$#REF!.$C$20"</definedName>
    <definedName name="disc_rate">"$#REF!.$#REF!$#REF!"</definedName>
    <definedName name="EvalPeriod">"$#REF!.$E$35"</definedName>
    <definedName name="Excel_BuiltIn__FilterDatabase_9" localSheetId="9">#REF!</definedName>
    <definedName name="Excel_BuiltIn__FilterDatabase_9">#REF!</definedName>
    <definedName name="Excel_BuiltIn_Print_Area_2">'Naudas plūsma'!$A$4:$U$25</definedName>
    <definedName name="Excel_BuiltIn_Print_Area_8">Aprēķini!$A$1:$U$127</definedName>
    <definedName name="Excel_BuiltIn_Print_Titles_9">Aprēķini!$6:$6</definedName>
    <definedName name="FactorMM">"$#REF!.$E$28"</definedName>
    <definedName name="GrantRateActual">"$#REF!.$D$14"</definedName>
    <definedName name="HHIncomeIndex">"$#REF!.$L$7:$AO$7"</definedName>
    <definedName name="HoursWorking">"$#REF!.$G$9"</definedName>
    <definedName name="IncomeHHBase">"$#REF!.$D$13"</definedName>
    <definedName name="LabourCostIndex">"$#REF!.$L$5:$AO$5"</definedName>
    <definedName name="LCAnnual">"$#REF!.$D$8"</definedName>
    <definedName name="LifeCivil">"$#REF!.$C$26"</definedName>
    <definedName name="LifePipes">"$#REF!.$D$26"</definedName>
    <definedName name="LifePlant">"$#REF!.$E$26"</definedName>
    <definedName name="Maksimālā_KF_līdzfinansējuma_likme" localSheetId="0">'Datu ievade'!#REF!</definedName>
    <definedName name="MMMask">"$#REF!.$L$12:$AO$12"</definedName>
    <definedName name="OperatingMask">"$#REF!.$L$8:$AO$8"</definedName>
    <definedName name="Pašvaldība_vai_pašvaldības_iestāde_vai_pašvaldības_aģentūra">'Datu ievade'!#REF!</definedName>
    <definedName name="Period">"$#REF!.$L$3:$AO$3"</definedName>
    <definedName name="PeriodMMFirst">"$#REF!.$E$29"</definedName>
    <definedName name="PeriodMMSecond">"$#REF!.$E$30"</definedName>
    <definedName name="PipeReplacementMask">"$#REF!.$L$10:$AO$10"</definedName>
    <definedName name="PlantReplacementMask">"$#REF!.$L$11:$AO$11"</definedName>
    <definedName name="PplHh">"$#REF!.$G$8"</definedName>
    <definedName name="_xlnm.Print_Area" localSheetId="3">Aprēķini!$A$131:$E$165</definedName>
    <definedName name="_xlnm.Print_Area" localSheetId="0">'Datu ievade'!$A$92:$H$121</definedName>
    <definedName name="_xlnm.Print_Area" localSheetId="10">'Ekonomiskā analīze'!$A$22:$I$41</definedName>
    <definedName name="_xlnm.Print_Area" localSheetId="8">'Iedzivotaju maksatspeja'!$A$4:$AG$40</definedName>
    <definedName name="_xlnm.Print_Area" localSheetId="7">'Ilgtermina saistibas'!$A$4:$AG$14</definedName>
    <definedName name="_xlnm.Print_Area" localSheetId="12">'Jutīguma analīze_EA'!$A$80:$F$139</definedName>
    <definedName name="_xlnm.Print_Area" localSheetId="11">'Jutīguma analīze_IIA'!$A$114:$I$161</definedName>
    <definedName name="_xlnm.Print_Area" localSheetId="4">Līdzfinansējums!$B$48:$H$60</definedName>
    <definedName name="_xlnm.Print_Area" localSheetId="5">'Naudas plūsma'!$A$4:$AG$26</definedName>
    <definedName name="_xlnm.Print_Area" localSheetId="6">'Saimnieciskas pamatdarbibas NP'!$A$4:$AG$46</definedName>
    <definedName name="_xlnm.Print_Titles" localSheetId="3">(Aprēķini!$A:$A,Aprēķini!$1:$2)</definedName>
    <definedName name="_xlnm.Print_Titles" localSheetId="7">'Ilgtermina saistibas'!$A:$A</definedName>
    <definedName name="_xlnm.Print_Titles" localSheetId="5">'Naudas plūsma'!$A:$A</definedName>
    <definedName name="_xlnm.Print_Titles" localSheetId="6">'Saimnieciskas pamatdarbibas NP'!$A:$A</definedName>
    <definedName name="RateDisc">"$#REF!.$H$3"</definedName>
    <definedName name="RateDiscount">"$#REF!.$C$4"</definedName>
    <definedName name="RateExch">"$#REF!.$H$4"</definedName>
    <definedName name="RateGrantBase">"$#REF!.$#REF!$#REF!"</definedName>
    <definedName name="ReplaceCase">"$#REF!.$D$12"</definedName>
    <definedName name="RVCase">"$#REF!.$D$9"</definedName>
    <definedName name="Seweragelcd">"$#REF!.$D$11"</definedName>
    <definedName name="SizeHH">"$#REF!.$#REF!$#REF!"</definedName>
    <definedName name="unitprice">"$#REF!.$D$6"</definedName>
    <definedName name="vat">"$#REF!.$#REF!$#REF!"</definedName>
    <definedName name="Waterlcd">"$#REF!.$D$10"</definedName>
    <definedName name="WOPFactor">"$#REF!.$H$5"</definedName>
    <definedName name="Y">"$#REF!.$E$9"</definedName>
    <definedName name="Year">"$#REF!.$L$2:$AO$2"</definedName>
    <definedName name="YearOpFirst">"$#REF!.$C$23"</definedName>
    <definedName name="YearRV">"$#REF!.$E$34"</definedName>
  </definedNames>
  <calcPr calcId="152511"/>
</workbook>
</file>

<file path=xl/calcChain.xml><?xml version="1.0" encoding="utf-8"?>
<calcChain xmlns="http://schemas.openxmlformats.org/spreadsheetml/2006/main">
  <c r="D220" i="1" l="1"/>
  <c r="D52" i="7"/>
  <c r="D255" i="5"/>
  <c r="L51" i="1"/>
  <c r="D49" i="1" s="1"/>
  <c r="D69" i="1" s="1"/>
  <c r="M49" i="1"/>
  <c r="L52" i="1" s="1"/>
  <c r="D47" i="1" s="1"/>
  <c r="D60" i="1" s="1"/>
  <c r="M48" i="1"/>
  <c r="B81" i="1"/>
  <c r="B94" i="1"/>
  <c r="C94" i="1"/>
  <c r="D94" i="1" s="1"/>
  <c r="E94" i="1" s="1"/>
  <c r="F94" i="1" s="1"/>
  <c r="G94" i="1" s="1"/>
  <c r="H94" i="1" s="1"/>
  <c r="B34" i="3"/>
  <c r="B6" i="5"/>
  <c r="J102" i="5"/>
  <c r="J105" i="5" s="1"/>
  <c r="K102" i="5"/>
  <c r="K105" i="5" s="1"/>
  <c r="K106" i="5" s="1"/>
  <c r="L102" i="5"/>
  <c r="M102" i="5"/>
  <c r="N102" i="5"/>
  <c r="O102" i="5"/>
  <c r="O105" i="5" s="1"/>
  <c r="P102" i="5"/>
  <c r="Q102" i="5"/>
  <c r="R102" i="5"/>
  <c r="R105" i="5" s="1"/>
  <c r="S102" i="5"/>
  <c r="S105" i="5" s="1"/>
  <c r="S106" i="5" s="1"/>
  <c r="T102" i="5"/>
  <c r="U102" i="5"/>
  <c r="V102" i="5"/>
  <c r="W102" i="5"/>
  <c r="X102" i="5"/>
  <c r="Y102" i="5"/>
  <c r="Z102" i="5"/>
  <c r="Z105" i="5" s="1"/>
  <c r="AA102" i="5"/>
  <c r="AA105" i="5" s="1"/>
  <c r="AA106" i="5" s="1"/>
  <c r="AB102" i="5"/>
  <c r="AC102" i="5"/>
  <c r="AD102" i="5"/>
  <c r="AE102" i="5"/>
  <c r="AE105" i="5" s="1"/>
  <c r="AF102" i="5"/>
  <c r="AG102" i="5"/>
  <c r="B79" i="5"/>
  <c r="B77" i="5"/>
  <c r="C77" i="5"/>
  <c r="D77" i="5"/>
  <c r="E77" i="5" s="1"/>
  <c r="F77" i="5" s="1"/>
  <c r="G77" i="5" s="1"/>
  <c r="H77" i="5" s="1"/>
  <c r="I77" i="5" s="1"/>
  <c r="J77" i="5" s="1"/>
  <c r="K77" i="5" s="1"/>
  <c r="L77" i="5" s="1"/>
  <c r="M77" i="5" s="1"/>
  <c r="N77" i="5" s="1"/>
  <c r="O77" i="5" s="1"/>
  <c r="P77" i="5" s="1"/>
  <c r="Q77" i="5" s="1"/>
  <c r="R77" i="5" s="1"/>
  <c r="S77" i="5" s="1"/>
  <c r="T77" i="5" s="1"/>
  <c r="U77" i="5" s="1"/>
  <c r="V77" i="5" s="1"/>
  <c r="W77" i="5" s="1"/>
  <c r="X77" i="5" s="1"/>
  <c r="Y77" i="5" s="1"/>
  <c r="Z77" i="5" s="1"/>
  <c r="AA77" i="5" s="1"/>
  <c r="AB77" i="5" s="1"/>
  <c r="AC77" i="5" s="1"/>
  <c r="AD77" i="5" s="1"/>
  <c r="AE77" i="5" s="1"/>
  <c r="AF77" i="5" s="1"/>
  <c r="AG77" i="5" s="1"/>
  <c r="AH77" i="5" s="1"/>
  <c r="B85" i="5"/>
  <c r="B91" i="5"/>
  <c r="B89" i="5"/>
  <c r="C89" i="5" s="1"/>
  <c r="D89" i="5" s="1"/>
  <c r="E89" i="5" s="1"/>
  <c r="F89" i="5" s="1"/>
  <c r="G89" i="5" s="1"/>
  <c r="H89" i="5" s="1"/>
  <c r="I89" i="5"/>
  <c r="J89" i="5" s="1"/>
  <c r="K89" i="5" s="1"/>
  <c r="L89" i="5" s="1"/>
  <c r="M89" i="5" s="1"/>
  <c r="N89" i="5" s="1"/>
  <c r="O89" i="5" s="1"/>
  <c r="J104" i="5"/>
  <c r="K104" i="5"/>
  <c r="L104" i="5"/>
  <c r="M104" i="5"/>
  <c r="M105" i="5" s="1"/>
  <c r="N104" i="5"/>
  <c r="O104" i="5"/>
  <c r="P104" i="5"/>
  <c r="P105" i="5" s="1"/>
  <c r="P106" i="5" s="1"/>
  <c r="Q104" i="5"/>
  <c r="R104" i="5"/>
  <c r="S104" i="5"/>
  <c r="T104" i="5"/>
  <c r="U104" i="5"/>
  <c r="U105" i="5" s="1"/>
  <c r="V104" i="5"/>
  <c r="W104" i="5"/>
  <c r="X104" i="5"/>
  <c r="X105" i="5" s="1"/>
  <c r="X106" i="5" s="1"/>
  <c r="Y104" i="5"/>
  <c r="Z104" i="5"/>
  <c r="AA104" i="5"/>
  <c r="AB104" i="5"/>
  <c r="AC104" i="5"/>
  <c r="AC105" i="5" s="1"/>
  <c r="AD104" i="5"/>
  <c r="AE104" i="5"/>
  <c r="AF104" i="5"/>
  <c r="AF105" i="5" s="1"/>
  <c r="AF106" i="5" s="1"/>
  <c r="AG104" i="5"/>
  <c r="E151" i="5"/>
  <c r="C255" i="5"/>
  <c r="C2" i="2"/>
  <c r="D2" i="2" s="1"/>
  <c r="D59" i="2"/>
  <c r="E59" i="2"/>
  <c r="B254" i="5"/>
  <c r="C21" i="9"/>
  <c r="D160" i="5"/>
  <c r="D21" i="9" s="1"/>
  <c r="E160" i="5"/>
  <c r="B127" i="8"/>
  <c r="B38" i="5"/>
  <c r="B36" i="5"/>
  <c r="C36" i="5" s="1"/>
  <c r="D36" i="5" s="1"/>
  <c r="E36" i="5" s="1"/>
  <c r="F36" i="5" s="1"/>
  <c r="G36" i="5" s="1"/>
  <c r="H36" i="5" s="1"/>
  <c r="I36" i="5" s="1"/>
  <c r="J36" i="5" s="1"/>
  <c r="K36" i="5" s="1"/>
  <c r="L36" i="5" s="1"/>
  <c r="M36" i="5" s="1"/>
  <c r="N36" i="5" s="1"/>
  <c r="O36" i="5" s="1"/>
  <c r="P36" i="5" s="1"/>
  <c r="Q36" i="5" s="1"/>
  <c r="R36" i="5" s="1"/>
  <c r="S36" i="5" s="1"/>
  <c r="T36" i="5" s="1"/>
  <c r="U36" i="5" s="1"/>
  <c r="V36" i="5" s="1"/>
  <c r="W36" i="5" s="1"/>
  <c r="X36" i="5" s="1"/>
  <c r="Y36" i="5" s="1"/>
  <c r="Z36" i="5" s="1"/>
  <c r="AA36" i="5" s="1"/>
  <c r="AB36" i="5" s="1"/>
  <c r="AC36" i="5" s="1"/>
  <c r="AD36" i="5" s="1"/>
  <c r="AE36" i="5" s="1"/>
  <c r="AF36" i="5" s="1"/>
  <c r="AG36" i="5" s="1"/>
  <c r="AH36" i="5" s="1"/>
  <c r="B44" i="5"/>
  <c r="B48" i="5"/>
  <c r="C48" i="5"/>
  <c r="D48" i="5"/>
  <c r="E48" i="5" s="1"/>
  <c r="F48" i="5" s="1"/>
  <c r="G48" i="5" s="1"/>
  <c r="H48" i="5" s="1"/>
  <c r="I48" i="5" s="1"/>
  <c r="B20" i="5"/>
  <c r="B9" i="5"/>
  <c r="C9" i="5" s="1"/>
  <c r="B21" i="5"/>
  <c r="B10" i="5"/>
  <c r="B22" i="5"/>
  <c r="C22" i="5" s="1"/>
  <c r="B11" i="5"/>
  <c r="C11" i="5"/>
  <c r="D11" i="5" s="1"/>
  <c r="B23" i="5"/>
  <c r="C23" i="5" s="1"/>
  <c r="B12" i="5"/>
  <c r="B59" i="5"/>
  <c r="B65" i="5"/>
  <c r="B71" i="5"/>
  <c r="B146" i="8"/>
  <c r="B25" i="5"/>
  <c r="B14" i="5"/>
  <c r="B26" i="5"/>
  <c r="B15" i="5"/>
  <c r="C15" i="5" s="1"/>
  <c r="B27" i="5"/>
  <c r="B16" i="5"/>
  <c r="C27" i="5"/>
  <c r="B28" i="5"/>
  <c r="B17" i="5"/>
  <c r="B7" i="11"/>
  <c r="B49" i="8"/>
  <c r="B57" i="5"/>
  <c r="C57" i="5" s="1"/>
  <c r="D57" i="5"/>
  <c r="E57" i="5" s="1"/>
  <c r="F57" i="5" s="1"/>
  <c r="G57" i="5" s="1"/>
  <c r="H57" i="5" s="1"/>
  <c r="B69" i="5"/>
  <c r="C69" i="5" s="1"/>
  <c r="D69" i="5" s="1"/>
  <c r="E69" i="5" s="1"/>
  <c r="F69" i="5" s="1"/>
  <c r="G69" i="5" s="1"/>
  <c r="H69" i="5" s="1"/>
  <c r="I69" i="5" s="1"/>
  <c r="J69" i="5" s="1"/>
  <c r="K69" i="5" s="1"/>
  <c r="L69" i="5" s="1"/>
  <c r="M69" i="5" s="1"/>
  <c r="N69" i="5" s="1"/>
  <c r="O69" i="5" s="1"/>
  <c r="P69" i="5" s="1"/>
  <c r="Q69" i="5" s="1"/>
  <c r="R69" i="5" s="1"/>
  <c r="S69" i="5" s="1"/>
  <c r="T69" i="5" s="1"/>
  <c r="U69" i="5" s="1"/>
  <c r="I57" i="5"/>
  <c r="J57" i="5" s="1"/>
  <c r="K57" i="5" s="1"/>
  <c r="L57" i="5" s="1"/>
  <c r="F160" i="5"/>
  <c r="F255" i="5" s="1"/>
  <c r="G160" i="5"/>
  <c r="G255" i="5"/>
  <c r="H160" i="5"/>
  <c r="H255" i="5" s="1"/>
  <c r="I160" i="5"/>
  <c r="I255" i="5" s="1"/>
  <c r="J48" i="5"/>
  <c r="K48" i="5" s="1"/>
  <c r="L48" i="5" s="1"/>
  <c r="M48" i="5" s="1"/>
  <c r="N48" i="5" s="1"/>
  <c r="M57" i="5"/>
  <c r="N57" i="5" s="1"/>
  <c r="O57" i="5" s="1"/>
  <c r="P57" i="5" s="1"/>
  <c r="Q57" i="5" s="1"/>
  <c r="R57" i="5" s="1"/>
  <c r="S57" i="5" s="1"/>
  <c r="T57" i="5" s="1"/>
  <c r="U57" i="5" s="1"/>
  <c r="V57" i="5" s="1"/>
  <c r="W57" i="5" s="1"/>
  <c r="X57" i="5" s="1"/>
  <c r="Y57" i="5" s="1"/>
  <c r="Z57" i="5" s="1"/>
  <c r="AA57" i="5" s="1"/>
  <c r="AB57" i="5" s="1"/>
  <c r="AC57" i="5" s="1"/>
  <c r="AD57" i="5" s="1"/>
  <c r="AE57" i="5" s="1"/>
  <c r="AF57" i="5" s="1"/>
  <c r="AG57" i="5" s="1"/>
  <c r="AH57" i="5" s="1"/>
  <c r="J110" i="5"/>
  <c r="K110" i="5"/>
  <c r="L110" i="5"/>
  <c r="M110" i="5"/>
  <c r="N110" i="5"/>
  <c r="O110" i="5"/>
  <c r="P110" i="5"/>
  <c r="Q110" i="5"/>
  <c r="R110" i="5"/>
  <c r="S110" i="5"/>
  <c r="T110" i="5"/>
  <c r="U110" i="5"/>
  <c r="V110" i="5"/>
  <c r="W110" i="5"/>
  <c r="X110" i="5"/>
  <c r="Y110" i="5"/>
  <c r="Z110" i="5"/>
  <c r="AA110" i="5"/>
  <c r="AB110" i="5"/>
  <c r="AC110" i="5"/>
  <c r="AD110" i="5"/>
  <c r="AE110" i="5"/>
  <c r="AF110" i="5"/>
  <c r="AG110" i="5"/>
  <c r="J106" i="5"/>
  <c r="J108" i="5" s="1"/>
  <c r="L105" i="5"/>
  <c r="L106" i="5"/>
  <c r="M106" i="5"/>
  <c r="N105" i="5"/>
  <c r="N106" i="5" s="1"/>
  <c r="O106" i="5"/>
  <c r="Q105" i="5"/>
  <c r="Q106" i="5" s="1"/>
  <c r="R106" i="5"/>
  <c r="R108" i="5"/>
  <c r="T105" i="5"/>
  <c r="T106" i="5" s="1"/>
  <c r="U106" i="5"/>
  <c r="V105" i="5"/>
  <c r="V106" i="5" s="1"/>
  <c r="V108" i="5" s="1"/>
  <c r="W105" i="5"/>
  <c r="W106" i="5" s="1"/>
  <c r="Y105" i="5"/>
  <c r="Y106" i="5" s="1"/>
  <c r="Z106" i="5"/>
  <c r="Z108" i="5" s="1"/>
  <c r="AB105" i="5"/>
  <c r="AB106" i="5"/>
  <c r="AC106" i="5"/>
  <c r="AD105" i="5"/>
  <c r="AD106" i="5" s="1"/>
  <c r="AE106" i="5"/>
  <c r="AE108" i="5" s="1"/>
  <c r="AG105" i="5"/>
  <c r="AG106" i="5" s="1"/>
  <c r="D159" i="5"/>
  <c r="AH323" i="5"/>
  <c r="D9" i="12"/>
  <c r="C9" i="12"/>
  <c r="C10" i="12" s="1"/>
  <c r="C17" i="12"/>
  <c r="D10" i="12"/>
  <c r="D17" i="12"/>
  <c r="E8" i="12"/>
  <c r="E17" i="12"/>
  <c r="B38" i="3"/>
  <c r="B168" i="5" s="1"/>
  <c r="F151" i="5"/>
  <c r="G151" i="5"/>
  <c r="B36" i="12"/>
  <c r="B35" i="12"/>
  <c r="B29" i="12"/>
  <c r="AH102" i="5"/>
  <c r="B135" i="8"/>
  <c r="B41" i="5"/>
  <c r="C65" i="8"/>
  <c r="C148" i="8" s="1"/>
  <c r="C12" i="11" s="1"/>
  <c r="C62" i="8"/>
  <c r="C63" i="8"/>
  <c r="B65" i="8"/>
  <c r="B66" i="8"/>
  <c r="B58" i="8"/>
  <c r="B59" i="8"/>
  <c r="B62" i="8"/>
  <c r="B63" i="8"/>
  <c r="B52" i="8"/>
  <c r="B53" i="8"/>
  <c r="C56" i="2"/>
  <c r="F56" i="2"/>
  <c r="B62" i="5"/>
  <c r="B66" i="5" s="1"/>
  <c r="C64" i="5" s="1"/>
  <c r="C65" i="5"/>
  <c r="C62" i="5"/>
  <c r="D62" i="5" s="1"/>
  <c r="E62" i="5" s="1"/>
  <c r="E138" i="5"/>
  <c r="E136" i="5"/>
  <c r="E139" i="5"/>
  <c r="E150" i="5"/>
  <c r="E152" i="5" s="1"/>
  <c r="E153" i="5"/>
  <c r="E154" i="5" s="1"/>
  <c r="B42" i="5"/>
  <c r="C42" i="5" s="1"/>
  <c r="D42" i="5"/>
  <c r="E42" i="5"/>
  <c r="F42" i="5" s="1"/>
  <c r="G42" i="5" s="1"/>
  <c r="H42" i="5" s="1"/>
  <c r="I42" i="5" s="1"/>
  <c r="J42" i="5" s="1"/>
  <c r="K42" i="5" s="1"/>
  <c r="L42" i="5" s="1"/>
  <c r="M42" i="5" s="1"/>
  <c r="B50" i="5"/>
  <c r="J255" i="5"/>
  <c r="K255" i="5"/>
  <c r="L255" i="5"/>
  <c r="M255" i="5"/>
  <c r="N255" i="5"/>
  <c r="O255" i="5"/>
  <c r="P255" i="5"/>
  <c r="Q255" i="5"/>
  <c r="R255" i="5"/>
  <c r="S255" i="5"/>
  <c r="T255" i="5"/>
  <c r="U255" i="5"/>
  <c r="V255" i="5"/>
  <c r="W255" i="5"/>
  <c r="X255" i="5"/>
  <c r="Y255" i="5"/>
  <c r="Z255" i="5"/>
  <c r="AA255" i="5"/>
  <c r="AB255" i="5"/>
  <c r="AC255" i="5"/>
  <c r="AD255" i="5"/>
  <c r="AE255" i="5"/>
  <c r="AF255" i="5"/>
  <c r="AG255" i="5"/>
  <c r="B86" i="1"/>
  <c r="B111" i="1"/>
  <c r="C140" i="8"/>
  <c r="B112" i="1"/>
  <c r="C111" i="1"/>
  <c r="D111" i="1"/>
  <c r="E111" i="1"/>
  <c r="F111" i="1" s="1"/>
  <c r="G111" i="1" s="1"/>
  <c r="B97" i="1"/>
  <c r="B98" i="1"/>
  <c r="C53" i="8" s="1"/>
  <c r="B168" i="1"/>
  <c r="B169" i="1" s="1"/>
  <c r="B157" i="1"/>
  <c r="B158" i="1" s="1"/>
  <c r="B69" i="1"/>
  <c r="C69" i="1"/>
  <c r="H60" i="1"/>
  <c r="F60" i="1"/>
  <c r="G102" i="5" s="1"/>
  <c r="E60" i="1"/>
  <c r="E61" i="1"/>
  <c r="D61" i="1"/>
  <c r="B60" i="1"/>
  <c r="B61" i="1"/>
  <c r="C60" i="1"/>
  <c r="C61" i="1"/>
  <c r="B83" i="5"/>
  <c r="C83" i="5" s="1"/>
  <c r="D83" i="5" s="1"/>
  <c r="E83" i="5" s="1"/>
  <c r="F83" i="5" s="1"/>
  <c r="G83" i="5" s="1"/>
  <c r="H83" i="5" s="1"/>
  <c r="I83" i="5" s="1"/>
  <c r="J83" i="5" s="1"/>
  <c r="K83" i="5" s="1"/>
  <c r="L83" i="5" s="1"/>
  <c r="M83" i="5" s="1"/>
  <c r="N83" i="5" s="1"/>
  <c r="F70" i="1"/>
  <c r="F72" i="1"/>
  <c r="E70" i="1"/>
  <c r="E72" i="1"/>
  <c r="D70" i="1"/>
  <c r="D72" i="1"/>
  <c r="B52" i="1"/>
  <c r="B70" i="1"/>
  <c r="B72" i="1"/>
  <c r="C70" i="1"/>
  <c r="C111" i="5" s="1"/>
  <c r="C72" i="1"/>
  <c r="H62" i="1"/>
  <c r="I104" i="5" s="1"/>
  <c r="F62" i="1"/>
  <c r="E62" i="1"/>
  <c r="E66" i="1" s="1"/>
  <c r="D110" i="5" s="1"/>
  <c r="E63" i="1"/>
  <c r="E71" i="1"/>
  <c r="D62" i="1"/>
  <c r="D63" i="1"/>
  <c r="D74" i="1" s="1"/>
  <c r="C107" i="5" s="1"/>
  <c r="D71" i="1"/>
  <c r="B50" i="1"/>
  <c r="B62" i="1" s="1"/>
  <c r="B71" i="1"/>
  <c r="C50" i="1"/>
  <c r="C62" i="1" s="1"/>
  <c r="B16" i="4" s="1"/>
  <c r="C63" i="1"/>
  <c r="C71" i="1"/>
  <c r="F153" i="5"/>
  <c r="F154" i="5" s="1"/>
  <c r="G153" i="5"/>
  <c r="G154" i="5"/>
  <c r="H154" i="5"/>
  <c r="I154" i="5"/>
  <c r="J154" i="5"/>
  <c r="K154" i="5"/>
  <c r="K155" i="5" s="1"/>
  <c r="K192" i="5" s="1"/>
  <c r="L154" i="5"/>
  <c r="M154" i="5"/>
  <c r="N154" i="5"/>
  <c r="O154" i="5"/>
  <c r="P154" i="5"/>
  <c r="Q154" i="5"/>
  <c r="R154" i="5"/>
  <c r="S154" i="5"/>
  <c r="S155" i="5" s="1"/>
  <c r="S192" i="5" s="1"/>
  <c r="T154" i="5"/>
  <c r="U154" i="5"/>
  <c r="V154" i="5"/>
  <c r="W154" i="5"/>
  <c r="W155" i="5" s="1"/>
  <c r="W192" i="5" s="1"/>
  <c r="X154" i="5"/>
  <c r="Y154" i="5"/>
  <c r="Z154" i="5"/>
  <c r="AA154" i="5"/>
  <c r="AA155" i="5" s="1"/>
  <c r="AA192" i="5" s="1"/>
  <c r="AB154" i="5"/>
  <c r="AC154" i="5"/>
  <c r="AD154" i="5"/>
  <c r="AE154" i="5"/>
  <c r="AF154" i="5"/>
  <c r="AG154" i="5"/>
  <c r="AH154" i="5"/>
  <c r="B63" i="1"/>
  <c r="E69" i="1"/>
  <c r="D134" i="5" s="1"/>
  <c r="B64" i="1"/>
  <c r="B65" i="1"/>
  <c r="C64" i="1"/>
  <c r="C65" i="1"/>
  <c r="D64" i="1"/>
  <c r="B17" i="4" s="1"/>
  <c r="D65" i="1"/>
  <c r="E64" i="1"/>
  <c r="E65" i="1"/>
  <c r="F61" i="1"/>
  <c r="F63" i="1"/>
  <c r="F64" i="1"/>
  <c r="F65" i="1"/>
  <c r="G60" i="1"/>
  <c r="G61" i="1"/>
  <c r="G62" i="1"/>
  <c r="G63" i="1"/>
  <c r="G64" i="1"/>
  <c r="G65" i="1"/>
  <c r="H61" i="1"/>
  <c r="H63" i="1"/>
  <c r="H64" i="1"/>
  <c r="H65" i="1"/>
  <c r="AH110" i="5"/>
  <c r="AH104" i="5"/>
  <c r="AH105" i="5"/>
  <c r="AH106" i="5"/>
  <c r="AH108" i="5" s="1"/>
  <c r="E105" i="5"/>
  <c r="E106" i="5" s="1"/>
  <c r="E19" i="12" s="1"/>
  <c r="F144" i="5"/>
  <c r="F147" i="5"/>
  <c r="G144" i="5"/>
  <c r="H144" i="5"/>
  <c r="I144" i="5"/>
  <c r="I147" i="5" s="1"/>
  <c r="J144" i="5"/>
  <c r="J147" i="5"/>
  <c r="K144" i="5"/>
  <c r="L144" i="5"/>
  <c r="M144" i="5"/>
  <c r="N144" i="5"/>
  <c r="N147" i="5"/>
  <c r="O144" i="5"/>
  <c r="P144" i="5"/>
  <c r="Q144" i="5"/>
  <c r="Q147" i="5" s="1"/>
  <c r="R144" i="5"/>
  <c r="R147" i="5"/>
  <c r="S144" i="5"/>
  <c r="T144" i="5"/>
  <c r="U144" i="5"/>
  <c r="V144" i="5"/>
  <c r="V147" i="5"/>
  <c r="W144" i="5"/>
  <c r="X144" i="5"/>
  <c r="Y144" i="5"/>
  <c r="Y147" i="5" s="1"/>
  <c r="Z144" i="5"/>
  <c r="Z147" i="5"/>
  <c r="AA144" i="5"/>
  <c r="AA147" i="5"/>
  <c r="AB144" i="5"/>
  <c r="AC144" i="5"/>
  <c r="AD144" i="5"/>
  <c r="AD147" i="5"/>
  <c r="AE144" i="5"/>
  <c r="AF144" i="5"/>
  <c r="AG144" i="5"/>
  <c r="AG147" i="5" s="1"/>
  <c r="AH144" i="5"/>
  <c r="AH147" i="5"/>
  <c r="F146" i="5"/>
  <c r="G146" i="5"/>
  <c r="G147" i="5" s="1"/>
  <c r="H146" i="5"/>
  <c r="I146" i="5"/>
  <c r="J146" i="5"/>
  <c r="K146" i="5"/>
  <c r="K147" i="5" s="1"/>
  <c r="L146" i="5"/>
  <c r="M146" i="5"/>
  <c r="N146" i="5"/>
  <c r="O146" i="5"/>
  <c r="O147" i="5" s="1"/>
  <c r="P146" i="5"/>
  <c r="Q146" i="5"/>
  <c r="R146" i="5"/>
  <c r="S146" i="5"/>
  <c r="S147" i="5" s="1"/>
  <c r="T146" i="5"/>
  <c r="U146" i="5"/>
  <c r="V146" i="5"/>
  <c r="W146" i="5"/>
  <c r="W147" i="5" s="1"/>
  <c r="X146" i="5"/>
  <c r="Y146" i="5"/>
  <c r="Z146" i="5"/>
  <c r="AA146" i="5"/>
  <c r="AB146" i="5"/>
  <c r="AC146" i="5"/>
  <c r="AD146" i="5"/>
  <c r="AE146" i="5"/>
  <c r="AE147" i="5" s="1"/>
  <c r="AF146" i="5"/>
  <c r="AG146" i="5"/>
  <c r="AH146" i="5"/>
  <c r="H147" i="5"/>
  <c r="L147" i="5"/>
  <c r="M147" i="5"/>
  <c r="P147" i="5"/>
  <c r="T147" i="5"/>
  <c r="U147" i="5"/>
  <c r="X147" i="5"/>
  <c r="AB147" i="5"/>
  <c r="AC147" i="5"/>
  <c r="AF147" i="5"/>
  <c r="E73" i="1"/>
  <c r="D73" i="1"/>
  <c r="B68" i="1"/>
  <c r="B73" i="1"/>
  <c r="C73" i="1"/>
  <c r="G70" i="1"/>
  <c r="H70" i="1"/>
  <c r="F71" i="1"/>
  <c r="G71" i="1"/>
  <c r="H71" i="1"/>
  <c r="G72" i="1"/>
  <c r="H72" i="1"/>
  <c r="B159" i="1"/>
  <c r="B170" i="1"/>
  <c r="I136" i="5"/>
  <c r="J136" i="5"/>
  <c r="K136" i="5"/>
  <c r="K139" i="5" s="1"/>
  <c r="L136" i="5"/>
  <c r="M136" i="5"/>
  <c r="N136" i="5"/>
  <c r="O136" i="5"/>
  <c r="P136" i="5"/>
  <c r="Q136" i="5"/>
  <c r="R136" i="5"/>
  <c r="S136" i="5"/>
  <c r="T136" i="5"/>
  <c r="U136" i="5"/>
  <c r="V136" i="5"/>
  <c r="W136" i="5"/>
  <c r="W139" i="5" s="1"/>
  <c r="X136" i="5"/>
  <c r="Y136" i="5"/>
  <c r="Z136" i="5"/>
  <c r="AA136" i="5"/>
  <c r="AA139" i="5" s="1"/>
  <c r="AB136" i="5"/>
  <c r="AC136" i="5"/>
  <c r="AD136" i="5"/>
  <c r="AE136" i="5"/>
  <c r="AE139" i="5" s="1"/>
  <c r="AF136" i="5"/>
  <c r="AG136" i="5"/>
  <c r="AH136" i="5"/>
  <c r="I138" i="5"/>
  <c r="I139" i="5" s="1"/>
  <c r="J138" i="5"/>
  <c r="J139" i="5" s="1"/>
  <c r="K138" i="5"/>
  <c r="L138" i="5"/>
  <c r="L139" i="5" s="1"/>
  <c r="M138" i="5"/>
  <c r="M139" i="5" s="1"/>
  <c r="N138" i="5"/>
  <c r="O138" i="5"/>
  <c r="O139" i="5" s="1"/>
  <c r="P138" i="5"/>
  <c r="P139" i="5" s="1"/>
  <c r="Q138" i="5"/>
  <c r="Q139" i="5" s="1"/>
  <c r="R138" i="5"/>
  <c r="R139" i="5" s="1"/>
  <c r="S138" i="5"/>
  <c r="T138" i="5"/>
  <c r="T139" i="5" s="1"/>
  <c r="U138" i="5"/>
  <c r="U139" i="5" s="1"/>
  <c r="V138" i="5"/>
  <c r="V139" i="5" s="1"/>
  <c r="W138" i="5"/>
  <c r="X138" i="5"/>
  <c r="Y138" i="5"/>
  <c r="Y139" i="5"/>
  <c r="Z138" i="5"/>
  <c r="Z139" i="5" s="1"/>
  <c r="AA138" i="5"/>
  <c r="AB138" i="5"/>
  <c r="AB139" i="5"/>
  <c r="AC138" i="5"/>
  <c r="AC139" i="5" s="1"/>
  <c r="AD138" i="5"/>
  <c r="AE138" i="5"/>
  <c r="AF138" i="5"/>
  <c r="AF139" i="5" s="1"/>
  <c r="AG138" i="5"/>
  <c r="AG139" i="5" s="1"/>
  <c r="AH138" i="5"/>
  <c r="AH139" i="5" s="1"/>
  <c r="N139" i="5"/>
  <c r="S139" i="5"/>
  <c r="AD139" i="5"/>
  <c r="I152" i="5"/>
  <c r="I155" i="5" s="1"/>
  <c r="I192" i="5" s="1"/>
  <c r="J152" i="5"/>
  <c r="K152" i="5"/>
  <c r="L152" i="5"/>
  <c r="L155" i="5"/>
  <c r="L192" i="5" s="1"/>
  <c r="M152" i="5"/>
  <c r="M155" i="5" s="1"/>
  <c r="M192" i="5" s="1"/>
  <c r="N152" i="5"/>
  <c r="O152" i="5"/>
  <c r="P152" i="5"/>
  <c r="P155" i="5" s="1"/>
  <c r="P192" i="5" s="1"/>
  <c r="Q152" i="5"/>
  <c r="Q155" i="5"/>
  <c r="Q192" i="5" s="1"/>
  <c r="R152" i="5"/>
  <c r="S152" i="5"/>
  <c r="T152" i="5"/>
  <c r="U152" i="5"/>
  <c r="U155" i="5"/>
  <c r="U192" i="5" s="1"/>
  <c r="V152" i="5"/>
  <c r="W152" i="5"/>
  <c r="X152" i="5"/>
  <c r="X155" i="5" s="1"/>
  <c r="Y152" i="5"/>
  <c r="Y155" i="5" s="1"/>
  <c r="Y192" i="5"/>
  <c r="Z152" i="5"/>
  <c r="AA152" i="5"/>
  <c r="AB152" i="5"/>
  <c r="AB155" i="5"/>
  <c r="AB192" i="5" s="1"/>
  <c r="AC152" i="5"/>
  <c r="AC155" i="5" s="1"/>
  <c r="AC192" i="5" s="1"/>
  <c r="AD152" i="5"/>
  <c r="AE152" i="5"/>
  <c r="AF152" i="5"/>
  <c r="AF155" i="5" s="1"/>
  <c r="AF192" i="5" s="1"/>
  <c r="AG152" i="5"/>
  <c r="AG155" i="5" s="1"/>
  <c r="AG192" i="5" s="1"/>
  <c r="AH152" i="5"/>
  <c r="J155" i="5"/>
  <c r="J192" i="5"/>
  <c r="N155" i="5"/>
  <c r="N192" i="5"/>
  <c r="O155" i="5"/>
  <c r="O192" i="5" s="1"/>
  <c r="R155" i="5"/>
  <c r="R192" i="5" s="1"/>
  <c r="V155" i="5"/>
  <c r="V192" i="5" s="1"/>
  <c r="Z155" i="5"/>
  <c r="AD155" i="5"/>
  <c r="AD192" i="5"/>
  <c r="AE155" i="5"/>
  <c r="AE192" i="5" s="1"/>
  <c r="AH155" i="5"/>
  <c r="J112" i="5"/>
  <c r="J111" i="5"/>
  <c r="K112" i="5"/>
  <c r="K111" i="5"/>
  <c r="L112" i="5"/>
  <c r="L111" i="5"/>
  <c r="M112" i="5"/>
  <c r="M111" i="5"/>
  <c r="N112" i="5"/>
  <c r="N111" i="5"/>
  <c r="O112" i="5"/>
  <c r="O111" i="5"/>
  <c r="P112" i="5"/>
  <c r="P111" i="5"/>
  <c r="Q112" i="5"/>
  <c r="Q111" i="5"/>
  <c r="R112" i="5"/>
  <c r="R111" i="5"/>
  <c r="S112" i="5"/>
  <c r="S111" i="5"/>
  <c r="T112" i="5"/>
  <c r="T111" i="5"/>
  <c r="U112" i="5"/>
  <c r="U111" i="5"/>
  <c r="V112" i="5"/>
  <c r="V111" i="5"/>
  <c r="W112" i="5"/>
  <c r="W111" i="5"/>
  <c r="X112" i="5"/>
  <c r="X111" i="5"/>
  <c r="Y112" i="5"/>
  <c r="Y111" i="5"/>
  <c r="Z112" i="5"/>
  <c r="Z111" i="5"/>
  <c r="AA112" i="5"/>
  <c r="AA111" i="5"/>
  <c r="AB112" i="5"/>
  <c r="AB111" i="5"/>
  <c r="AC112" i="5"/>
  <c r="AC111" i="5"/>
  <c r="AD112" i="5"/>
  <c r="AD111" i="5"/>
  <c r="AE112" i="5"/>
  <c r="AE111" i="5"/>
  <c r="AF112" i="5"/>
  <c r="AF111" i="5"/>
  <c r="AG112" i="5"/>
  <c r="AG111" i="5"/>
  <c r="AH112" i="5"/>
  <c r="AH111" i="5"/>
  <c r="J107" i="5"/>
  <c r="K107" i="5"/>
  <c r="L107" i="5"/>
  <c r="M107" i="5"/>
  <c r="N107" i="5"/>
  <c r="O107" i="5"/>
  <c r="P107" i="5"/>
  <c r="P108" i="5" s="1"/>
  <c r="Q107" i="5"/>
  <c r="Q108" i="5" s="1"/>
  <c r="R107" i="5"/>
  <c r="S107" i="5"/>
  <c r="T107" i="5"/>
  <c r="U107" i="5"/>
  <c r="U108" i="5" s="1"/>
  <c r="V107" i="5"/>
  <c r="W107" i="5"/>
  <c r="W108" i="5" s="1"/>
  <c r="X107" i="5"/>
  <c r="X108" i="5" s="1"/>
  <c r="Y107" i="5"/>
  <c r="Z107" i="5"/>
  <c r="AA107" i="5"/>
  <c r="AB107" i="5"/>
  <c r="AC107" i="5"/>
  <c r="AD107" i="5"/>
  <c r="AE107" i="5"/>
  <c r="AF107" i="5"/>
  <c r="AF108" i="5" s="1"/>
  <c r="AG107" i="5"/>
  <c r="AG108" i="5" s="1"/>
  <c r="AH107" i="5"/>
  <c r="K108" i="5"/>
  <c r="O108" i="5"/>
  <c r="S108" i="5"/>
  <c r="AA108" i="5"/>
  <c r="AC108" i="5"/>
  <c r="F73" i="1"/>
  <c r="G73" i="1"/>
  <c r="H73" i="1"/>
  <c r="F69" i="1"/>
  <c r="G69" i="1"/>
  <c r="H69" i="1"/>
  <c r="A63" i="1"/>
  <c r="A61" i="1"/>
  <c r="A62" i="1"/>
  <c r="B235" i="1"/>
  <c r="C235" i="1"/>
  <c r="D235" i="1"/>
  <c r="E235" i="1"/>
  <c r="F235" i="1"/>
  <c r="G235" i="1"/>
  <c r="H235" i="1"/>
  <c r="I235" i="1"/>
  <c r="J235" i="1"/>
  <c r="K235" i="1"/>
  <c r="L235" i="1"/>
  <c r="M235" i="1"/>
  <c r="N235" i="1"/>
  <c r="O235" i="1"/>
  <c r="P235" i="1"/>
  <c r="Q235" i="1"/>
  <c r="R235" i="1"/>
  <c r="S235" i="1"/>
  <c r="T235" i="1"/>
  <c r="U235" i="1"/>
  <c r="V235" i="1"/>
  <c r="W235" i="1"/>
  <c r="X235" i="1"/>
  <c r="Y235" i="1"/>
  <c r="Z235" i="1"/>
  <c r="AA235" i="1"/>
  <c r="AB235" i="1"/>
  <c r="AC235" i="1"/>
  <c r="AD235" i="1"/>
  <c r="AE235" i="1"/>
  <c r="AF235" i="1"/>
  <c r="AG235" i="1"/>
  <c r="D17" i="3"/>
  <c r="E17" i="3" s="1"/>
  <c r="F17" i="3" s="1"/>
  <c r="G17" i="3" s="1"/>
  <c r="H17" i="3"/>
  <c r="I17" i="3" s="1"/>
  <c r="J17" i="3" s="1"/>
  <c r="K17" i="3" s="1"/>
  <c r="L17" i="3" s="1"/>
  <c r="M17" i="3" s="1"/>
  <c r="N17" i="3" s="1"/>
  <c r="O17" i="3" s="1"/>
  <c r="P17" i="3" s="1"/>
  <c r="Q17" i="3"/>
  <c r="R17" i="3" s="1"/>
  <c r="S17" i="3" s="1"/>
  <c r="T17" i="3" s="1"/>
  <c r="U17" i="3" s="1"/>
  <c r="V17" i="3" s="1"/>
  <c r="W17" i="3" s="1"/>
  <c r="X17" i="3"/>
  <c r="Y17" i="3" s="1"/>
  <c r="Z17" i="3" s="1"/>
  <c r="AA17" i="3" s="1"/>
  <c r="AB17" i="3" s="1"/>
  <c r="AC17" i="3" s="1"/>
  <c r="AD17" i="3" s="1"/>
  <c r="AE17" i="3" s="1"/>
  <c r="AF17" i="3" s="1"/>
  <c r="AG17" i="3"/>
  <c r="AH17" i="3" s="1"/>
  <c r="C8" i="3"/>
  <c r="D8" i="3"/>
  <c r="E8" i="3"/>
  <c r="F8" i="3" s="1"/>
  <c r="G8" i="3" s="1"/>
  <c r="H8" i="3"/>
  <c r="I8" i="3" s="1"/>
  <c r="J8" i="3" s="1"/>
  <c r="K8" i="3" s="1"/>
  <c r="L8" i="3" s="1"/>
  <c r="M8" i="3" s="1"/>
  <c r="N8" i="3" s="1"/>
  <c r="O8" i="3" s="1"/>
  <c r="P8" i="3" s="1"/>
  <c r="Q8" i="3" s="1"/>
  <c r="R8" i="3" s="1"/>
  <c r="S8" i="3" s="1"/>
  <c r="T8" i="3" s="1"/>
  <c r="U8" i="3" s="1"/>
  <c r="V8" i="3" s="1"/>
  <c r="W8" i="3" s="1"/>
  <c r="X8" i="3" s="1"/>
  <c r="Y8" i="3" s="1"/>
  <c r="Z8" i="3" s="1"/>
  <c r="AA8" i="3" s="1"/>
  <c r="AB8" i="3" s="1"/>
  <c r="AC8" i="3" s="1"/>
  <c r="AD8" i="3" s="1"/>
  <c r="AE8" i="3" s="1"/>
  <c r="AF8" i="3" s="1"/>
  <c r="AG8" i="3" s="1"/>
  <c r="AH8" i="3" s="1"/>
  <c r="AF9" i="3"/>
  <c r="AG9" i="3"/>
  <c r="AH9" i="3"/>
  <c r="C10" i="3"/>
  <c r="D10" i="3" s="1"/>
  <c r="E10" i="3" s="1"/>
  <c r="F10" i="3"/>
  <c r="G10" i="3" s="1"/>
  <c r="H10" i="3" s="1"/>
  <c r="I10" i="3"/>
  <c r="J10" i="3" s="1"/>
  <c r="K10" i="3" s="1"/>
  <c r="L10" i="3" s="1"/>
  <c r="M10" i="3" s="1"/>
  <c r="N10" i="3"/>
  <c r="O10" i="3" s="1"/>
  <c r="P10" i="3" s="1"/>
  <c r="Q10" i="3" s="1"/>
  <c r="R10" i="3" s="1"/>
  <c r="S10" i="3" s="1"/>
  <c r="T10" i="3" s="1"/>
  <c r="U10" i="3" s="1"/>
  <c r="V10" i="3" s="1"/>
  <c r="W10" i="3" s="1"/>
  <c r="X10" i="3" s="1"/>
  <c r="Y10" i="3"/>
  <c r="Z10" i="3" s="1"/>
  <c r="AA10" i="3" s="1"/>
  <c r="AB10" i="3" s="1"/>
  <c r="AC10" i="3" s="1"/>
  <c r="AD10" i="3"/>
  <c r="AE10" i="3" s="1"/>
  <c r="AF10" i="3" s="1"/>
  <c r="AG10" i="3" s="1"/>
  <c r="AH10" i="3" s="1"/>
  <c r="AF11" i="3"/>
  <c r="AG11" i="3" s="1"/>
  <c r="AH11" i="3"/>
  <c r="C12" i="3"/>
  <c r="AF13" i="3"/>
  <c r="AG13" i="3" s="1"/>
  <c r="AH13" i="3"/>
  <c r="C14" i="3"/>
  <c r="C15" i="3"/>
  <c r="D15" i="3" s="1"/>
  <c r="E15" i="3" s="1"/>
  <c r="F15" i="3" s="1"/>
  <c r="G15" i="3" s="1"/>
  <c r="H15" i="3" s="1"/>
  <c r="I15" i="3"/>
  <c r="J15" i="3"/>
  <c r="K15" i="3" s="1"/>
  <c r="L15" i="3" s="1"/>
  <c r="M15" i="3" s="1"/>
  <c r="N15" i="3" s="1"/>
  <c r="O15" i="3" s="1"/>
  <c r="P15" i="3" s="1"/>
  <c r="Q15" i="3"/>
  <c r="R15" i="3" s="1"/>
  <c r="S15" i="3" s="1"/>
  <c r="T15" i="3" s="1"/>
  <c r="U15" i="3" s="1"/>
  <c r="V15" i="3" s="1"/>
  <c r="W15" i="3" s="1"/>
  <c r="X15" i="3" s="1"/>
  <c r="Y15" i="3" s="1"/>
  <c r="Z15" i="3"/>
  <c r="AA15" i="3" s="1"/>
  <c r="AB15" i="3" s="1"/>
  <c r="AC15" i="3" s="1"/>
  <c r="AD15" i="3" s="1"/>
  <c r="AE15" i="3" s="1"/>
  <c r="AF15" i="3" s="1"/>
  <c r="AG15" i="3" s="1"/>
  <c r="AH15" i="3" s="1"/>
  <c r="D16" i="3"/>
  <c r="E16" i="3" s="1"/>
  <c r="F16" i="3" s="1"/>
  <c r="G16" i="3"/>
  <c r="H16" i="3" s="1"/>
  <c r="I16" i="3" s="1"/>
  <c r="J16" i="3"/>
  <c r="K16" i="3" s="1"/>
  <c r="L16" i="3" s="1"/>
  <c r="M16" i="3" s="1"/>
  <c r="N16" i="3" s="1"/>
  <c r="O16" i="3" s="1"/>
  <c r="P16" i="3" s="1"/>
  <c r="Q16" i="3" s="1"/>
  <c r="R16" i="3" s="1"/>
  <c r="S16" i="3" s="1"/>
  <c r="T16" i="3" s="1"/>
  <c r="U16" i="3" s="1"/>
  <c r="V16" i="3" s="1"/>
  <c r="W16" i="3" s="1"/>
  <c r="X16" i="3" s="1"/>
  <c r="Y16" i="3" s="1"/>
  <c r="Z16" i="3" s="1"/>
  <c r="AA16" i="3" s="1"/>
  <c r="AB16" i="3" s="1"/>
  <c r="AC16" i="3" s="1"/>
  <c r="AD16" i="3" s="1"/>
  <c r="AE16" i="3" s="1"/>
  <c r="AF16" i="3" s="1"/>
  <c r="AG16" i="3" s="1"/>
  <c r="AH16" i="3" s="1"/>
  <c r="C233" i="1"/>
  <c r="D233" i="1" s="1"/>
  <c r="E233" i="1" s="1"/>
  <c r="F233" i="1" s="1"/>
  <c r="G233" i="1"/>
  <c r="H233" i="1" s="1"/>
  <c r="I233" i="1" s="1"/>
  <c r="J233" i="1" s="1"/>
  <c r="K233" i="1" s="1"/>
  <c r="L233" i="1" s="1"/>
  <c r="M233" i="1" s="1"/>
  <c r="N233" i="1" s="1"/>
  <c r="O233" i="1" s="1"/>
  <c r="P233" i="1" s="1"/>
  <c r="Q233" i="1" s="1"/>
  <c r="R233" i="1" s="1"/>
  <c r="S233" i="1" s="1"/>
  <c r="T233" i="1" s="1"/>
  <c r="U233" i="1" s="1"/>
  <c r="V233" i="1" s="1"/>
  <c r="W233" i="1" s="1"/>
  <c r="X233" i="1" s="1"/>
  <c r="Y233" i="1" s="1"/>
  <c r="Z233" i="1" s="1"/>
  <c r="AA233" i="1" s="1"/>
  <c r="AB233" i="1" s="1"/>
  <c r="AC233" i="1" s="1"/>
  <c r="AD233" i="1"/>
  <c r="AE233" i="1" s="1"/>
  <c r="AF233" i="1" s="1"/>
  <c r="AG233" i="1" s="1"/>
  <c r="B145" i="1"/>
  <c r="B134" i="1"/>
  <c r="C185" i="8"/>
  <c r="C191" i="8" s="1"/>
  <c r="C190" i="8"/>
  <c r="C7" i="3"/>
  <c r="D7" i="3"/>
  <c r="E7" i="3" s="1"/>
  <c r="F7" i="3" s="1"/>
  <c r="G7" i="3" s="1"/>
  <c r="H7" i="3"/>
  <c r="I7" i="3" s="1"/>
  <c r="J7" i="3" s="1"/>
  <c r="K7" i="3" s="1"/>
  <c r="L7" i="3" s="1"/>
  <c r="M7" i="3" s="1"/>
  <c r="N7" i="3" s="1"/>
  <c r="O7" i="3"/>
  <c r="P7" i="3" s="1"/>
  <c r="Q7" i="3" s="1"/>
  <c r="R7" i="3" s="1"/>
  <c r="S7" i="3" s="1"/>
  <c r="T7" i="3" s="1"/>
  <c r="U7" i="3" s="1"/>
  <c r="V7" i="3" s="1"/>
  <c r="W7" i="3" s="1"/>
  <c r="X7" i="3" s="1"/>
  <c r="Y7" i="3" s="1"/>
  <c r="Z7" i="3" s="1"/>
  <c r="AA7" i="3" s="1"/>
  <c r="AB7" i="3" s="1"/>
  <c r="AC7" i="3" s="1"/>
  <c r="AD7" i="3" s="1"/>
  <c r="AE7" i="3" s="1"/>
  <c r="AF7" i="3" s="1"/>
  <c r="AG7" i="3" s="1"/>
  <c r="AH7" i="3" s="1"/>
  <c r="F150" i="5"/>
  <c r="F152" i="5"/>
  <c r="F155" i="5"/>
  <c r="F192" i="5" s="1"/>
  <c r="G150" i="5"/>
  <c r="G152" i="5"/>
  <c r="G155" i="5" s="1"/>
  <c r="G192" i="5" s="1"/>
  <c r="H152" i="5"/>
  <c r="H155" i="5"/>
  <c r="H192" i="5"/>
  <c r="K17" i="2"/>
  <c r="K24" i="2"/>
  <c r="L17" i="2"/>
  <c r="L24" i="2"/>
  <c r="M17" i="2"/>
  <c r="M24" i="2"/>
  <c r="N17" i="2"/>
  <c r="N24" i="2"/>
  <c r="O17" i="2"/>
  <c r="O48" i="5"/>
  <c r="P48" i="5"/>
  <c r="Q48" i="5"/>
  <c r="R48" i="5" s="1"/>
  <c r="S48" i="5" s="1"/>
  <c r="T48" i="5" s="1"/>
  <c r="U48" i="5" s="1"/>
  <c r="V48" i="5" s="1"/>
  <c r="W48" i="5" s="1"/>
  <c r="X48" i="5" s="1"/>
  <c r="Y48" i="5" s="1"/>
  <c r="Z48" i="5" s="1"/>
  <c r="AA48" i="5" s="1"/>
  <c r="AB48" i="5" s="1"/>
  <c r="AC48" i="5" s="1"/>
  <c r="AD48" i="5" s="1"/>
  <c r="AE48" i="5" s="1"/>
  <c r="AF48" i="5" s="1"/>
  <c r="AG48" i="5" s="1"/>
  <c r="AH48" i="5" s="1"/>
  <c r="O24" i="2"/>
  <c r="P17" i="2"/>
  <c r="P24" i="2"/>
  <c r="Q17" i="2"/>
  <c r="Q24" i="2"/>
  <c r="R17" i="2"/>
  <c r="R24" i="2"/>
  <c r="S17" i="2"/>
  <c r="S24" i="2"/>
  <c r="T17" i="2"/>
  <c r="T24" i="2"/>
  <c r="U17" i="2"/>
  <c r="U24" i="2"/>
  <c r="V17" i="2"/>
  <c r="V24" i="2"/>
  <c r="W17" i="2"/>
  <c r="W24" i="2"/>
  <c r="X17" i="2"/>
  <c r="X24" i="2"/>
  <c r="Y17" i="2"/>
  <c r="Y24" i="2"/>
  <c r="Z17" i="2"/>
  <c r="Z24" i="2"/>
  <c r="AA17" i="2"/>
  <c r="AA24" i="2"/>
  <c r="AB17" i="2"/>
  <c r="AB24" i="2"/>
  <c r="AC17" i="2"/>
  <c r="AC24" i="2"/>
  <c r="AD17" i="2"/>
  <c r="AD24" i="2"/>
  <c r="AE17" i="2"/>
  <c r="AE24" i="2"/>
  <c r="AF17" i="2"/>
  <c r="AF24" i="2"/>
  <c r="AG17" i="2"/>
  <c r="AG24" i="2"/>
  <c r="AH17" i="2"/>
  <c r="AH24" i="2"/>
  <c r="AI17" i="2"/>
  <c r="AI24" i="2"/>
  <c r="AH192" i="5"/>
  <c r="AT25" i="4"/>
  <c r="AG25" i="4"/>
  <c r="AG29" i="4" s="1"/>
  <c r="F41" i="7"/>
  <c r="D51" i="7"/>
  <c r="D53" i="7"/>
  <c r="D54" i="7"/>
  <c r="AG26" i="4"/>
  <c r="AT26" i="4"/>
  <c r="T26" i="4"/>
  <c r="T25" i="4"/>
  <c r="CT25" i="4"/>
  <c r="E159" i="5"/>
  <c r="E163" i="5"/>
  <c r="E244" i="5" s="1"/>
  <c r="E161" i="5"/>
  <c r="F161" i="5"/>
  <c r="AH10" i="4"/>
  <c r="I21" i="9"/>
  <c r="J161" i="5"/>
  <c r="L161" i="5"/>
  <c r="M161" i="5"/>
  <c r="N161" i="5"/>
  <c r="P161" i="5"/>
  <c r="Q161" i="5"/>
  <c r="R161" i="5"/>
  <c r="T161" i="5"/>
  <c r="U161" i="5"/>
  <c r="V161" i="5"/>
  <c r="X161" i="5"/>
  <c r="Y161" i="5"/>
  <c r="Z161" i="5"/>
  <c r="AB161" i="5"/>
  <c r="AC161" i="5"/>
  <c r="AD161" i="5"/>
  <c r="AF161" i="5"/>
  <c r="AG161" i="5"/>
  <c r="AH161" i="5"/>
  <c r="AH19" i="9" s="1"/>
  <c r="F17" i="12"/>
  <c r="G17" i="12"/>
  <c r="H17" i="12"/>
  <c r="I17" i="12"/>
  <c r="J17" i="12"/>
  <c r="K17" i="12"/>
  <c r="L17" i="12"/>
  <c r="M17" i="12"/>
  <c r="N17" i="12"/>
  <c r="O17" i="12"/>
  <c r="P17" i="12"/>
  <c r="Q17" i="12"/>
  <c r="R17" i="12"/>
  <c r="S17" i="12"/>
  <c r="T17" i="12"/>
  <c r="U17" i="12"/>
  <c r="V17" i="12"/>
  <c r="W17" i="12"/>
  <c r="X17" i="12"/>
  <c r="Y17" i="12"/>
  <c r="Z17" i="12"/>
  <c r="AA17" i="12"/>
  <c r="AB17" i="12"/>
  <c r="AC17" i="12"/>
  <c r="AD17" i="12"/>
  <c r="AE17" i="12"/>
  <c r="AF17" i="12"/>
  <c r="AG17" i="12"/>
  <c r="AH17" i="12"/>
  <c r="AJ17" i="2"/>
  <c r="AK17" i="2"/>
  <c r="AJ24" i="2"/>
  <c r="AK24" i="2"/>
  <c r="B10" i="12"/>
  <c r="B17" i="12"/>
  <c r="B73" i="8"/>
  <c r="B74" i="8"/>
  <c r="B75" i="8"/>
  <c r="B76" i="8"/>
  <c r="B77" i="8"/>
  <c r="B282" i="5" s="1"/>
  <c r="B79" i="8"/>
  <c r="B80" i="8"/>
  <c r="B279" i="5" s="1"/>
  <c r="B81" i="8"/>
  <c r="B82" i="8"/>
  <c r="B83" i="8"/>
  <c r="B9" i="8"/>
  <c r="B10" i="8"/>
  <c r="B11" i="8"/>
  <c r="B12" i="8"/>
  <c r="B13" i="8"/>
  <c r="B15" i="8"/>
  <c r="B16" i="8"/>
  <c r="B17" i="8"/>
  <c r="B18" i="8"/>
  <c r="B19" i="8"/>
  <c r="B88" i="8"/>
  <c r="B24" i="8"/>
  <c r="B90" i="8"/>
  <c r="B26" i="8"/>
  <c r="B92" i="8"/>
  <c r="B174" i="8"/>
  <c r="B28" i="8"/>
  <c r="B93" i="8"/>
  <c r="B29" i="8"/>
  <c r="B175" i="8" s="1"/>
  <c r="B94" i="8"/>
  <c r="B30" i="8"/>
  <c r="B176" i="8"/>
  <c r="B258" i="5"/>
  <c r="B185" i="8"/>
  <c r="B190" i="8"/>
  <c r="B191" i="8"/>
  <c r="B188" i="5" s="1"/>
  <c r="D29" i="7"/>
  <c r="E5" i="15"/>
  <c r="C5" i="15"/>
  <c r="C5" i="13"/>
  <c r="E5" i="13"/>
  <c r="A1" i="15"/>
  <c r="A2" i="15"/>
  <c r="A2" i="1"/>
  <c r="A1" i="1"/>
  <c r="B148" i="8"/>
  <c r="B12" i="11"/>
  <c r="B9" i="10"/>
  <c r="B10" i="10"/>
  <c r="B13" i="10"/>
  <c r="B280" i="5"/>
  <c r="B281" i="5"/>
  <c r="B289" i="5"/>
  <c r="B11" i="9" s="1"/>
  <c r="A2" i="5"/>
  <c r="A1" i="5"/>
  <c r="V69" i="5"/>
  <c r="W69" i="5" s="1"/>
  <c r="X69" i="5" s="1"/>
  <c r="Y69" i="5" s="1"/>
  <c r="Z69" i="5" s="1"/>
  <c r="AA69" i="5" s="1"/>
  <c r="AB69" i="5"/>
  <c r="AC69" i="5" s="1"/>
  <c r="AD69" i="5" s="1"/>
  <c r="AE69" i="5" s="1"/>
  <c r="AF69" i="5" s="1"/>
  <c r="AG69" i="5" s="1"/>
  <c r="AH69" i="5" s="1"/>
  <c r="P89" i="5"/>
  <c r="Q89" i="5" s="1"/>
  <c r="R89" i="5" s="1"/>
  <c r="S89" i="5" s="1"/>
  <c r="T89" i="5" s="1"/>
  <c r="U89" i="5" s="1"/>
  <c r="V89" i="5" s="1"/>
  <c r="W89" i="5" s="1"/>
  <c r="X89" i="5" s="1"/>
  <c r="Y89" i="5" s="1"/>
  <c r="Z89" i="5" s="1"/>
  <c r="AA89" i="5" s="1"/>
  <c r="AB89" i="5" s="1"/>
  <c r="AC89" i="5" s="1"/>
  <c r="AD89" i="5" s="1"/>
  <c r="AE89" i="5" s="1"/>
  <c r="AF89" i="5" s="1"/>
  <c r="AG89" i="5" s="1"/>
  <c r="AH89" i="5" s="1"/>
  <c r="AH255" i="5"/>
  <c r="A104" i="5"/>
  <c r="A102" i="5"/>
  <c r="B306" i="5"/>
  <c r="C306" i="5"/>
  <c r="D306" i="5"/>
  <c r="E306" i="5"/>
  <c r="F306" i="5" s="1"/>
  <c r="G306" i="5" s="1"/>
  <c r="H306" i="5" s="1"/>
  <c r="I306" i="5" s="1"/>
  <c r="B309" i="5"/>
  <c r="O83" i="5"/>
  <c r="P83" i="5" s="1"/>
  <c r="Q83" i="5" s="1"/>
  <c r="R83" i="5" s="1"/>
  <c r="S83" i="5" s="1"/>
  <c r="T83" i="5" s="1"/>
  <c r="U83" i="5" s="1"/>
  <c r="V83" i="5" s="1"/>
  <c r="W83" i="5" s="1"/>
  <c r="X83" i="5" s="1"/>
  <c r="Y83" i="5" s="1"/>
  <c r="Z83" i="5" s="1"/>
  <c r="AA83" i="5" s="1"/>
  <c r="AB83" i="5" s="1"/>
  <c r="AC83" i="5" s="1"/>
  <c r="AD83" i="5" s="1"/>
  <c r="AE83" i="5" s="1"/>
  <c r="AF83" i="5" s="1"/>
  <c r="AG83" i="5" s="1"/>
  <c r="AH83" i="5" s="1"/>
  <c r="B63" i="5"/>
  <c r="C63" i="5"/>
  <c r="D63" i="5" s="1"/>
  <c r="E63" i="5"/>
  <c r="F63" i="5"/>
  <c r="G63" i="5" s="1"/>
  <c r="H63" i="5" s="1"/>
  <c r="I63" i="5"/>
  <c r="J63" i="5" s="1"/>
  <c r="K63" i="5" s="1"/>
  <c r="L63" i="5" s="1"/>
  <c r="M63" i="5" s="1"/>
  <c r="N63" i="5" s="1"/>
  <c r="O63" i="5"/>
  <c r="P63" i="5" s="1"/>
  <c r="Q63" i="5" s="1"/>
  <c r="R63" i="5" s="1"/>
  <c r="S63" i="5" s="1"/>
  <c r="T63" i="5" s="1"/>
  <c r="U63" i="5" s="1"/>
  <c r="V63" i="5" s="1"/>
  <c r="W63" i="5" s="1"/>
  <c r="X63" i="5" s="1"/>
  <c r="Y63" i="5" s="1"/>
  <c r="Z63" i="5" s="1"/>
  <c r="AA63" i="5" s="1"/>
  <c r="AB63" i="5" s="1"/>
  <c r="AC63" i="5" s="1"/>
  <c r="AD63" i="5" s="1"/>
  <c r="AE63" i="5" s="1"/>
  <c r="AF63" i="5" s="1"/>
  <c r="AG63" i="5" s="1"/>
  <c r="AH63" i="5" s="1"/>
  <c r="N42" i="5"/>
  <c r="O42" i="5" s="1"/>
  <c r="P42" i="5"/>
  <c r="Q42" i="5" s="1"/>
  <c r="R42" i="5" s="1"/>
  <c r="S42" i="5" s="1"/>
  <c r="T42" i="5" s="1"/>
  <c r="U42" i="5" s="1"/>
  <c r="V42" i="5" s="1"/>
  <c r="W42" i="5" s="1"/>
  <c r="X42" i="5" s="1"/>
  <c r="Y42" i="5" s="1"/>
  <c r="Z42" i="5" s="1"/>
  <c r="AA42" i="5" s="1"/>
  <c r="AB42" i="5" s="1"/>
  <c r="AC42" i="5" s="1"/>
  <c r="AD42" i="5" s="1"/>
  <c r="AE42" i="5" s="1"/>
  <c r="AF42" i="5" s="1"/>
  <c r="AG42" i="5" s="1"/>
  <c r="AH42" i="5" s="1"/>
  <c r="C311" i="5"/>
  <c r="B18" i="5"/>
  <c r="U178" i="5"/>
  <c r="O178" i="5"/>
  <c r="S178" i="5"/>
  <c r="M178" i="5"/>
  <c r="C58" i="8"/>
  <c r="C66" i="8"/>
  <c r="D56" i="2"/>
  <c r="E56" i="2"/>
  <c r="G56" i="2"/>
  <c r="H56" i="2"/>
  <c r="I56" i="2"/>
  <c r="J56" i="2"/>
  <c r="K56" i="2"/>
  <c r="L56" i="2"/>
  <c r="M56" i="2"/>
  <c r="N56" i="2"/>
  <c r="O56" i="2"/>
  <c r="P56" i="2"/>
  <c r="Q56" i="2"/>
  <c r="R56" i="2"/>
  <c r="S56" i="2"/>
  <c r="T56" i="2"/>
  <c r="U56" i="2"/>
  <c r="V56" i="2"/>
  <c r="W56" i="2"/>
  <c r="X56" i="2"/>
  <c r="Y56" i="2"/>
  <c r="Z56" i="2"/>
  <c r="AA56" i="2"/>
  <c r="AB56" i="2"/>
  <c r="AC56" i="2"/>
  <c r="AD56" i="2"/>
  <c r="AE56" i="2"/>
  <c r="AF56" i="2"/>
  <c r="AG56" i="2"/>
  <c r="AH56" i="2"/>
  <c r="AI56" i="2"/>
  <c r="AJ56" i="2"/>
  <c r="AK56" i="2"/>
  <c r="D24" i="9"/>
  <c r="C24" i="9"/>
  <c r="C46" i="9" s="1"/>
  <c r="E21" i="9"/>
  <c r="E24" i="9"/>
  <c r="F21" i="9"/>
  <c r="F24" i="9"/>
  <c r="G21" i="9"/>
  <c r="G24" i="9"/>
  <c r="H21" i="9"/>
  <c r="H24" i="9"/>
  <c r="I24" i="9"/>
  <c r="J15" i="9"/>
  <c r="J16" i="9"/>
  <c r="J24" i="9"/>
  <c r="K24" i="9"/>
  <c r="L15" i="9"/>
  <c r="L24" i="9"/>
  <c r="M15" i="9"/>
  <c r="M16" i="9"/>
  <c r="M24" i="9"/>
  <c r="M46" i="9" s="1"/>
  <c r="N15" i="9"/>
  <c r="N16" i="9"/>
  <c r="N24" i="9"/>
  <c r="N46" i="9" s="1"/>
  <c r="O15" i="9"/>
  <c r="O16" i="9" s="1"/>
  <c r="O24" i="9"/>
  <c r="P24" i="9"/>
  <c r="Q24" i="9"/>
  <c r="R15" i="9"/>
  <c r="R16" i="9"/>
  <c r="R24" i="9"/>
  <c r="R46" i="9" s="1"/>
  <c r="S15" i="9"/>
  <c r="S16" i="9"/>
  <c r="S24" i="9"/>
  <c r="S46" i="9" s="1"/>
  <c r="T24" i="9"/>
  <c r="U15" i="9"/>
  <c r="U16" i="9"/>
  <c r="U24" i="9"/>
  <c r="V15" i="9"/>
  <c r="V16" i="9"/>
  <c r="V24" i="9"/>
  <c r="V46" i="9" s="1"/>
  <c r="W24" i="9"/>
  <c r="X24" i="9"/>
  <c r="Y15" i="9"/>
  <c r="Y16" i="9"/>
  <c r="Y24" i="9"/>
  <c r="Z24" i="9"/>
  <c r="AA24" i="9"/>
  <c r="AB15" i="9"/>
  <c r="AB16" i="9"/>
  <c r="AB24" i="9"/>
  <c r="AC24" i="9"/>
  <c r="AD15" i="9"/>
  <c r="AD16" i="9"/>
  <c r="AD24" i="9"/>
  <c r="AE24" i="9"/>
  <c r="AF15" i="9"/>
  <c r="AF16" i="9" s="1"/>
  <c r="AF24" i="9"/>
  <c r="AG24" i="9"/>
  <c r="AG46" i="9" s="1"/>
  <c r="AH24" i="9"/>
  <c r="C251" i="1"/>
  <c r="D251" i="1"/>
  <c r="E251" i="1"/>
  <c r="E8" i="10"/>
  <c r="F251" i="1"/>
  <c r="G251" i="1"/>
  <c r="G8" i="10" s="1"/>
  <c r="H251" i="1"/>
  <c r="H238" i="1" s="1"/>
  <c r="H8" i="10"/>
  <c r="I251" i="1"/>
  <c r="J251" i="1"/>
  <c r="J8" i="10"/>
  <c r="J238" i="1"/>
  <c r="K251" i="1"/>
  <c r="K8" i="10" s="1"/>
  <c r="L251" i="1"/>
  <c r="N63" i="2" s="1"/>
  <c r="M251" i="1"/>
  <c r="O63" i="2" s="1"/>
  <c r="M8" i="10"/>
  <c r="N251" i="1"/>
  <c r="N8" i="10"/>
  <c r="N238" i="1"/>
  <c r="O251" i="1"/>
  <c r="P251" i="1"/>
  <c r="P8" i="10"/>
  <c r="P238" i="1"/>
  <c r="Q251" i="1"/>
  <c r="Q8" i="10"/>
  <c r="R251" i="1"/>
  <c r="T63" i="2" s="1"/>
  <c r="R8" i="10"/>
  <c r="S251" i="1"/>
  <c r="S8" i="10"/>
  <c r="T251" i="1"/>
  <c r="T238" i="1" s="1"/>
  <c r="T8" i="10"/>
  <c r="U251" i="1"/>
  <c r="U8" i="10"/>
  <c r="V251" i="1"/>
  <c r="V8" i="10"/>
  <c r="W251" i="1"/>
  <c r="W8" i="10"/>
  <c r="X251" i="1"/>
  <c r="X238" i="1" s="1"/>
  <c r="X8" i="10"/>
  <c r="Y251" i="1"/>
  <c r="Z251" i="1"/>
  <c r="Z8" i="10" s="1"/>
  <c r="AA251" i="1"/>
  <c r="AC63" i="2" s="1"/>
  <c r="AB251" i="1"/>
  <c r="AC251" i="1"/>
  <c r="AC8" i="10"/>
  <c r="AD251" i="1"/>
  <c r="AD8" i="10" s="1"/>
  <c r="AE251" i="1"/>
  <c r="AF251" i="1"/>
  <c r="AG251" i="1"/>
  <c r="AG8" i="10" s="1"/>
  <c r="B251" i="1"/>
  <c r="B8" i="10"/>
  <c r="C172" i="1"/>
  <c r="D172" i="1" s="1"/>
  <c r="E172" i="1" s="1"/>
  <c r="F172" i="1" s="1"/>
  <c r="G172" i="1" s="1"/>
  <c r="H172" i="1" s="1"/>
  <c r="I172" i="1" s="1"/>
  <c r="J172" i="1" s="1"/>
  <c r="K172" i="1" s="1"/>
  <c r="L172" i="1" s="1"/>
  <c r="M172" i="1" s="1"/>
  <c r="N172" i="1" s="1"/>
  <c r="O172" i="1" s="1"/>
  <c r="P172" i="1" s="1"/>
  <c r="Q172" i="1" s="1"/>
  <c r="R172" i="1" s="1"/>
  <c r="S172" i="1" s="1"/>
  <c r="T172" i="1" s="1"/>
  <c r="U172" i="1" s="1"/>
  <c r="V172" i="1" s="1"/>
  <c r="W172" i="1" s="1"/>
  <c r="X172" i="1" s="1"/>
  <c r="Y172" i="1" s="1"/>
  <c r="Z172" i="1" s="1"/>
  <c r="AA172" i="1" s="1"/>
  <c r="AB172" i="1" s="1"/>
  <c r="AC172" i="1" s="1"/>
  <c r="AD172" i="1" s="1"/>
  <c r="AE172" i="1" s="1"/>
  <c r="AF172" i="1" s="1"/>
  <c r="AG172" i="1" s="1"/>
  <c r="C105" i="1"/>
  <c r="B105" i="1"/>
  <c r="A60" i="1"/>
  <c r="B90" i="1"/>
  <c r="AG238" i="1"/>
  <c r="AD238" i="1"/>
  <c r="C208" i="1"/>
  <c r="D208" i="1"/>
  <c r="E208" i="1"/>
  <c r="F208" i="1" s="1"/>
  <c r="G208" i="1" s="1"/>
  <c r="H208" i="1" s="1"/>
  <c r="I208" i="1" s="1"/>
  <c r="J208" i="1" s="1"/>
  <c r="K208" i="1" s="1"/>
  <c r="L208" i="1" s="1"/>
  <c r="M208" i="1" s="1"/>
  <c r="N208" i="1" s="1"/>
  <c r="O208" i="1" s="1"/>
  <c r="P208" i="1" s="1"/>
  <c r="Q208" i="1" s="1"/>
  <c r="R208" i="1" s="1"/>
  <c r="S208" i="1" s="1"/>
  <c r="T208" i="1" s="1"/>
  <c r="U208" i="1" s="1"/>
  <c r="V208" i="1" s="1"/>
  <c r="W208" i="1" s="1"/>
  <c r="X208" i="1" s="1"/>
  <c r="Y208" i="1" s="1"/>
  <c r="Z208" i="1" s="1"/>
  <c r="AA208" i="1" s="1"/>
  <c r="AB208" i="1" s="1"/>
  <c r="AC208" i="1" s="1"/>
  <c r="AD208" i="1" s="1"/>
  <c r="AE208" i="1" s="1"/>
  <c r="AF208" i="1" s="1"/>
  <c r="AG208" i="1" s="1"/>
  <c r="K238" i="1"/>
  <c r="S238" i="1"/>
  <c r="C232" i="1"/>
  <c r="D232" i="1"/>
  <c r="E232" i="1" s="1"/>
  <c r="F232" i="1" s="1"/>
  <c r="G232" i="1" s="1"/>
  <c r="H232" i="1"/>
  <c r="I232" i="1" s="1"/>
  <c r="J232" i="1" s="1"/>
  <c r="K232" i="1" s="1"/>
  <c r="L232" i="1" s="1"/>
  <c r="M232" i="1" s="1"/>
  <c r="N232" i="1" s="1"/>
  <c r="O232" i="1" s="1"/>
  <c r="P232" i="1" s="1"/>
  <c r="Q232" i="1" s="1"/>
  <c r="R232" i="1" s="1"/>
  <c r="S232" i="1"/>
  <c r="T232" i="1" s="1"/>
  <c r="U232" i="1" s="1"/>
  <c r="V232" i="1" s="1"/>
  <c r="W232" i="1" s="1"/>
  <c r="X232" i="1" s="1"/>
  <c r="Y232" i="1" s="1"/>
  <c r="Z232" i="1" s="1"/>
  <c r="AA232" i="1" s="1"/>
  <c r="AB232" i="1"/>
  <c r="AC232" i="1" s="1"/>
  <c r="AD232" i="1" s="1"/>
  <c r="AE232" i="1" s="1"/>
  <c r="AF232" i="1" s="1"/>
  <c r="AG232" i="1" s="1"/>
  <c r="C59" i="1"/>
  <c r="D59" i="1"/>
  <c r="E59" i="1" s="1"/>
  <c r="F59" i="1" s="1"/>
  <c r="G59" i="1" s="1"/>
  <c r="H59" i="1" s="1"/>
  <c r="C46" i="1"/>
  <c r="D46" i="1" s="1"/>
  <c r="E46" i="1" s="1"/>
  <c r="F46" i="1" s="1"/>
  <c r="G46" i="1" s="1"/>
  <c r="H46" i="1" s="1"/>
  <c r="C250" i="1"/>
  <c r="D250" i="1"/>
  <c r="E250" i="1" s="1"/>
  <c r="F250" i="1" s="1"/>
  <c r="G250" i="1" s="1"/>
  <c r="H250" i="1" s="1"/>
  <c r="I250" i="1" s="1"/>
  <c r="J250" i="1" s="1"/>
  <c r="K250" i="1" s="1"/>
  <c r="L250" i="1"/>
  <c r="M250" i="1" s="1"/>
  <c r="N250" i="1" s="1"/>
  <c r="O250" i="1" s="1"/>
  <c r="P250" i="1" s="1"/>
  <c r="Q250" i="1" s="1"/>
  <c r="R250" i="1" s="1"/>
  <c r="S250" i="1" s="1"/>
  <c r="T250" i="1"/>
  <c r="U250" i="1" s="1"/>
  <c r="V250" i="1" s="1"/>
  <c r="W250" i="1" s="1"/>
  <c r="X250" i="1" s="1"/>
  <c r="Y250" i="1" s="1"/>
  <c r="Z250" i="1" s="1"/>
  <c r="AA250" i="1" s="1"/>
  <c r="AB250" i="1"/>
  <c r="AC250" i="1" s="1"/>
  <c r="AD250" i="1" s="1"/>
  <c r="AE250" i="1" s="1"/>
  <c r="AF250" i="1" s="1"/>
  <c r="AG250" i="1" s="1"/>
  <c r="C148" i="1"/>
  <c r="D148" i="1"/>
  <c r="E148" i="1"/>
  <c r="F148" i="1"/>
  <c r="G148" i="1" s="1"/>
  <c r="H148" i="1" s="1"/>
  <c r="I148" i="1"/>
  <c r="J148" i="1" s="1"/>
  <c r="K148" i="1" s="1"/>
  <c r="L148" i="1" s="1"/>
  <c r="M148" i="1" s="1"/>
  <c r="N148" i="1" s="1"/>
  <c r="O148" i="1" s="1"/>
  <c r="P148" i="1" s="1"/>
  <c r="Q148" i="1"/>
  <c r="R148" i="1" s="1"/>
  <c r="S148" i="1" s="1"/>
  <c r="T148" i="1" s="1"/>
  <c r="U148" i="1" s="1"/>
  <c r="V148" i="1" s="1"/>
  <c r="W148" i="1" s="1"/>
  <c r="X148" i="1" s="1"/>
  <c r="Y148" i="1"/>
  <c r="Z148" i="1" s="1"/>
  <c r="AA148" i="1" s="1"/>
  <c r="AB148" i="1" s="1"/>
  <c r="AC148" i="1" s="1"/>
  <c r="AD148" i="1" s="1"/>
  <c r="AE148" i="1" s="1"/>
  <c r="AF148" i="1" s="1"/>
  <c r="AG148" i="1"/>
  <c r="C92" i="1"/>
  <c r="D92" i="1" s="1"/>
  <c r="E92" i="1" s="1"/>
  <c r="F92" i="1" s="1"/>
  <c r="G92" i="1" s="1"/>
  <c r="H92" i="1" s="1"/>
  <c r="B106" i="1"/>
  <c r="C106" i="1"/>
  <c r="C219" i="1"/>
  <c r="D219" i="1" s="1"/>
  <c r="B42" i="1"/>
  <c r="B20" i="1"/>
  <c r="B31" i="1"/>
  <c r="B84" i="1"/>
  <c r="B124" i="1"/>
  <c r="B78" i="1"/>
  <c r="W238" i="1"/>
  <c r="AC238" i="1"/>
  <c r="AA238" i="1"/>
  <c r="U238" i="1"/>
  <c r="B238" i="1"/>
  <c r="B197" i="1"/>
  <c r="C197" i="1" s="1"/>
  <c r="Q238" i="1"/>
  <c r="V238" i="1"/>
  <c r="E238" i="1"/>
  <c r="B245" i="1"/>
  <c r="R238" i="1"/>
  <c r="M238" i="1"/>
  <c r="Z238" i="1"/>
  <c r="B32" i="11"/>
  <c r="B18" i="11"/>
  <c r="A2" i="12"/>
  <c r="A1" i="12"/>
  <c r="D17" i="2"/>
  <c r="D28" i="2"/>
  <c r="D19" i="2"/>
  <c r="D25" i="2"/>
  <c r="D18" i="2"/>
  <c r="C13" i="2"/>
  <c r="C14" i="2"/>
  <c r="C11" i="2"/>
  <c r="C9" i="2"/>
  <c r="C8" i="2"/>
  <c r="C6" i="2"/>
  <c r="D6" i="2"/>
  <c r="E6" i="2"/>
  <c r="D8" i="2"/>
  <c r="D14" i="2"/>
  <c r="C34" i="2"/>
  <c r="C67" i="2"/>
  <c r="C35" i="2"/>
  <c r="C36" i="2"/>
  <c r="C37" i="2"/>
  <c r="C38" i="2"/>
  <c r="C45" i="2"/>
  <c r="C46" i="2"/>
  <c r="C47" i="2"/>
  <c r="C48" i="2"/>
  <c r="C49" i="2"/>
  <c r="D27" i="2"/>
  <c r="C40" i="2"/>
  <c r="C41" i="2"/>
  <c r="C42" i="2"/>
  <c r="D41" i="2"/>
  <c r="F73" i="2"/>
  <c r="D76" i="2"/>
  <c r="G73" i="2"/>
  <c r="H73" i="2"/>
  <c r="I73" i="2"/>
  <c r="J73" i="2"/>
  <c r="K73" i="2"/>
  <c r="L73" i="2"/>
  <c r="M73" i="2"/>
  <c r="N73" i="2"/>
  <c r="O73" i="2"/>
  <c r="P73" i="2"/>
  <c r="Q73" i="2"/>
  <c r="R73" i="2"/>
  <c r="S73" i="2"/>
  <c r="T73" i="2"/>
  <c r="U73" i="2"/>
  <c r="V73" i="2"/>
  <c r="W73" i="2"/>
  <c r="X73" i="2"/>
  <c r="Y73" i="2"/>
  <c r="Z73" i="2"/>
  <c r="AA73" i="2"/>
  <c r="AB73" i="2"/>
  <c r="AC73" i="2"/>
  <c r="AD73" i="2"/>
  <c r="AE73" i="2"/>
  <c r="AF73" i="2"/>
  <c r="AG73" i="2"/>
  <c r="AH73" i="2"/>
  <c r="AI73" i="2"/>
  <c r="AJ73" i="2"/>
  <c r="AK73" i="2"/>
  <c r="E73" i="2"/>
  <c r="D73" i="2"/>
  <c r="AK63" i="2"/>
  <c r="G62" i="2"/>
  <c r="H62" i="2"/>
  <c r="I62" i="2"/>
  <c r="J62" i="2"/>
  <c r="K62" i="2"/>
  <c r="L62" i="2"/>
  <c r="M62" i="2"/>
  <c r="N62" i="2"/>
  <c r="O62" i="2"/>
  <c r="P62" i="2"/>
  <c r="Q62" i="2"/>
  <c r="R62" i="2"/>
  <c r="S62" i="2"/>
  <c r="T62" i="2"/>
  <c r="U62" i="2"/>
  <c r="V62" i="2"/>
  <c r="W62" i="2"/>
  <c r="X62" i="2"/>
  <c r="Y62" i="2"/>
  <c r="Z62" i="2"/>
  <c r="AA62" i="2"/>
  <c r="AB62" i="2"/>
  <c r="AC62" i="2"/>
  <c r="AD62" i="2"/>
  <c r="AE62" i="2" s="1"/>
  <c r="AF62" i="2" s="1"/>
  <c r="AG62" i="2"/>
  <c r="AH62" i="2" s="1"/>
  <c r="AI62" i="2" s="1"/>
  <c r="AJ62" i="2" s="1"/>
  <c r="AK62" i="2" s="1"/>
  <c r="E62" i="2"/>
  <c r="F62" i="2"/>
  <c r="D62" i="2"/>
  <c r="G63" i="2"/>
  <c r="J63" i="2"/>
  <c r="S63" i="2"/>
  <c r="W63" i="2"/>
  <c r="X63" i="2"/>
  <c r="Y63" i="2"/>
  <c r="AB63" i="2"/>
  <c r="D63" i="2"/>
  <c r="D66" i="2"/>
  <c r="E66" i="2"/>
  <c r="F66" i="2"/>
  <c r="G66" i="2"/>
  <c r="H66" i="2"/>
  <c r="I66" i="2"/>
  <c r="J66" i="2"/>
  <c r="K66" i="2"/>
  <c r="L66" i="2"/>
  <c r="M66" i="2"/>
  <c r="N66" i="2"/>
  <c r="O66" i="2"/>
  <c r="P66" i="2"/>
  <c r="Q66" i="2"/>
  <c r="R66" i="2"/>
  <c r="S66" i="2"/>
  <c r="T66" i="2"/>
  <c r="U66" i="2"/>
  <c r="V66" i="2"/>
  <c r="W66" i="2"/>
  <c r="X66" i="2"/>
  <c r="Y66" i="2"/>
  <c r="Z66" i="2"/>
  <c r="AA66" i="2"/>
  <c r="AB66" i="2"/>
  <c r="AC66" i="2"/>
  <c r="AD66" i="2"/>
  <c r="AE66" i="2"/>
  <c r="AF66" i="2"/>
  <c r="AG66" i="2"/>
  <c r="AH66" i="2"/>
  <c r="AI66" i="2"/>
  <c r="D68" i="2"/>
  <c r="E68" i="2"/>
  <c r="F68" i="2"/>
  <c r="G68" i="2"/>
  <c r="H68" i="2"/>
  <c r="I68" i="2"/>
  <c r="J68" i="2"/>
  <c r="K68" i="2"/>
  <c r="L68" i="2"/>
  <c r="M68" i="2"/>
  <c r="N68" i="2"/>
  <c r="O68" i="2"/>
  <c r="P68" i="2"/>
  <c r="Q68" i="2"/>
  <c r="R68" i="2"/>
  <c r="S68" i="2"/>
  <c r="T68" i="2"/>
  <c r="U68" i="2"/>
  <c r="V68" i="2"/>
  <c r="W68" i="2"/>
  <c r="X68" i="2"/>
  <c r="Y68" i="2"/>
  <c r="Z68" i="2"/>
  <c r="AA68" i="2"/>
  <c r="AB68" i="2"/>
  <c r="AC68" i="2"/>
  <c r="AD68" i="2"/>
  <c r="AE68" i="2"/>
  <c r="AF68" i="2"/>
  <c r="AG68" i="2"/>
  <c r="AH68" i="2"/>
  <c r="AI68" i="2"/>
  <c r="D70" i="2"/>
  <c r="E70" i="2"/>
  <c r="F70" i="2"/>
  <c r="G70" i="2"/>
  <c r="H70" i="2"/>
  <c r="I70" i="2"/>
  <c r="J70" i="2"/>
  <c r="K70" i="2"/>
  <c r="L70" i="2"/>
  <c r="M70" i="2"/>
  <c r="N70" i="2"/>
  <c r="O70" i="2"/>
  <c r="P70" i="2"/>
  <c r="Q70" i="2"/>
  <c r="R70" i="2"/>
  <c r="S70" i="2"/>
  <c r="T70" i="2"/>
  <c r="U70" i="2"/>
  <c r="V70" i="2"/>
  <c r="W70" i="2"/>
  <c r="X70" i="2"/>
  <c r="Y70" i="2"/>
  <c r="Z70" i="2"/>
  <c r="AA70" i="2"/>
  <c r="AB70" i="2"/>
  <c r="AC70" i="2"/>
  <c r="AD70" i="2"/>
  <c r="AE70" i="2"/>
  <c r="AF70" i="2"/>
  <c r="AG70" i="2"/>
  <c r="AH70" i="2"/>
  <c r="AI70" i="2"/>
  <c r="C68" i="2"/>
  <c r="C69" i="2"/>
  <c r="C70" i="2"/>
  <c r="C71" i="2"/>
  <c r="C66" i="2"/>
  <c r="F59" i="2"/>
  <c r="G59" i="2"/>
  <c r="H59" i="2"/>
  <c r="I59" i="2"/>
  <c r="J59" i="2"/>
  <c r="D51" i="2"/>
  <c r="C53" i="2"/>
  <c r="C51" i="2"/>
  <c r="D42" i="2"/>
  <c r="D40" i="2"/>
  <c r="D52" i="2"/>
  <c r="C3" i="2"/>
  <c r="C52" i="2"/>
  <c r="L63" i="2"/>
  <c r="Z63" i="2"/>
  <c r="AE63" i="2"/>
  <c r="AA63" i="2"/>
  <c r="AF63" i="2"/>
  <c r="AD63" i="2"/>
  <c r="AI63" i="2"/>
  <c r="AJ63" i="2"/>
  <c r="V63" i="2"/>
  <c r="U63" i="2"/>
  <c r="M63" i="2"/>
  <c r="Q63" i="2"/>
  <c r="P63" i="2"/>
  <c r="R63" i="2"/>
  <c r="C4" i="2"/>
  <c r="D4" i="2"/>
  <c r="D3" i="2"/>
  <c r="D74" i="2"/>
  <c r="D75" i="2" s="1"/>
  <c r="K63" i="2"/>
  <c r="I63" i="2"/>
  <c r="E13" i="2"/>
  <c r="D9" i="2"/>
  <c r="H63" i="2"/>
  <c r="D53" i="2"/>
  <c r="D26" i="2"/>
  <c r="D13" i="2"/>
  <c r="D24" i="2"/>
  <c r="F13" i="2"/>
  <c r="G13" i="2"/>
  <c r="H13" i="2"/>
  <c r="I13" i="2"/>
  <c r="K59" i="2"/>
  <c r="L59" i="2"/>
  <c r="M59" i="2"/>
  <c r="N59" i="2"/>
  <c r="O59" i="2"/>
  <c r="P59" i="2"/>
  <c r="Q59" i="2"/>
  <c r="R59" i="2"/>
  <c r="S59" i="2"/>
  <c r="T59" i="2"/>
  <c r="U59" i="2"/>
  <c r="V59" i="2"/>
  <c r="W59" i="2"/>
  <c r="X59" i="2"/>
  <c r="Y59" i="2"/>
  <c r="Z59" i="2"/>
  <c r="AA59" i="2"/>
  <c r="AB59" i="2"/>
  <c r="AC59" i="2"/>
  <c r="AD59" i="2"/>
  <c r="AE59" i="2"/>
  <c r="AF59" i="2"/>
  <c r="AG59" i="2"/>
  <c r="AH59" i="2"/>
  <c r="AI59" i="2"/>
  <c r="AJ59" i="2"/>
  <c r="AK59" i="2"/>
  <c r="A18" i="11"/>
  <c r="A1" i="11"/>
  <c r="A2" i="11"/>
  <c r="A30" i="11"/>
  <c r="C13" i="10"/>
  <c r="D13" i="10"/>
  <c r="E13" i="10"/>
  <c r="F13" i="10"/>
  <c r="G13" i="10"/>
  <c r="H13" i="10"/>
  <c r="I13" i="10"/>
  <c r="J13" i="10"/>
  <c r="K13" i="10"/>
  <c r="L13" i="10"/>
  <c r="M13" i="10"/>
  <c r="N13" i="10"/>
  <c r="O13" i="10"/>
  <c r="P13" i="10"/>
  <c r="Q13" i="10"/>
  <c r="R13" i="10"/>
  <c r="S13" i="10"/>
  <c r="T13" i="10"/>
  <c r="U13" i="10"/>
  <c r="V13" i="10"/>
  <c r="W13" i="10"/>
  <c r="X13" i="10"/>
  <c r="Y13" i="10"/>
  <c r="Z13" i="10"/>
  <c r="AA13" i="10"/>
  <c r="AB13" i="10"/>
  <c r="AC13" i="10"/>
  <c r="AD13" i="10"/>
  <c r="AE13" i="10"/>
  <c r="AF13" i="10"/>
  <c r="AG13" i="10"/>
  <c r="C10" i="10"/>
  <c r="D10" i="10"/>
  <c r="E10" i="10"/>
  <c r="F10" i="10"/>
  <c r="G10" i="10"/>
  <c r="H10" i="10"/>
  <c r="I10" i="10"/>
  <c r="J10" i="10"/>
  <c r="K10" i="10"/>
  <c r="L10" i="10"/>
  <c r="M10" i="10"/>
  <c r="N10" i="10"/>
  <c r="O10" i="10"/>
  <c r="P10" i="10"/>
  <c r="Q10" i="10"/>
  <c r="R10" i="10"/>
  <c r="S10" i="10"/>
  <c r="T10" i="10"/>
  <c r="U10" i="10"/>
  <c r="V10" i="10"/>
  <c r="W10" i="10"/>
  <c r="X10" i="10"/>
  <c r="Y10" i="10"/>
  <c r="Z10" i="10"/>
  <c r="AA10" i="10"/>
  <c r="AB10" i="10"/>
  <c r="AC10" i="10"/>
  <c r="AD10" i="10"/>
  <c r="AE10" i="10"/>
  <c r="AF10" i="10"/>
  <c r="AG10" i="10"/>
  <c r="C9" i="10"/>
  <c r="D9" i="10"/>
  <c r="E9" i="10"/>
  <c r="F9" i="10"/>
  <c r="G9" i="10"/>
  <c r="H9" i="10"/>
  <c r="I9" i="10" s="1"/>
  <c r="A8" i="10"/>
  <c r="A1" i="10"/>
  <c r="A2" i="10"/>
  <c r="C6" i="10"/>
  <c r="D6" i="10"/>
  <c r="E6" i="10"/>
  <c r="F6" i="10"/>
  <c r="G6" i="10" s="1"/>
  <c r="H6" i="10" s="1"/>
  <c r="I6" i="10" s="1"/>
  <c r="J6" i="10" s="1"/>
  <c r="K6" i="10" s="1"/>
  <c r="L6" i="10"/>
  <c r="M6" i="10" s="1"/>
  <c r="N6" i="10" s="1"/>
  <c r="O6" i="10" s="1"/>
  <c r="P6" i="10" s="1"/>
  <c r="Q6" i="10" s="1"/>
  <c r="R6" i="10" s="1"/>
  <c r="S6" i="10" s="1"/>
  <c r="T6" i="10" s="1"/>
  <c r="U6" i="10" s="1"/>
  <c r="V6" i="10" s="1"/>
  <c r="W6" i="10" s="1"/>
  <c r="X6" i="10" s="1"/>
  <c r="Y6" i="10" s="1"/>
  <c r="Z6" i="10" s="1"/>
  <c r="AA6" i="10" s="1"/>
  <c r="AB6" i="10" s="1"/>
  <c r="AC6" i="10" s="1"/>
  <c r="AD6" i="10" s="1"/>
  <c r="AE6" i="10" s="1"/>
  <c r="AF6" i="10" s="1"/>
  <c r="AG6" i="10" s="1"/>
  <c r="A2" i="13"/>
  <c r="A1" i="13"/>
  <c r="A2" i="3"/>
  <c r="A1" i="3"/>
  <c r="D71" i="2"/>
  <c r="AJ66" i="2"/>
  <c r="AJ68" i="2"/>
  <c r="A19" i="3"/>
  <c r="AJ70" i="2"/>
  <c r="C20" i="3"/>
  <c r="D20" i="3"/>
  <c r="E20" i="3" s="1"/>
  <c r="F20" i="3" s="1"/>
  <c r="G20" i="3" s="1"/>
  <c r="H20" i="3" s="1"/>
  <c r="I20" i="3" s="1"/>
  <c r="J20" i="3" s="1"/>
  <c r="K20" i="3" s="1"/>
  <c r="L20" i="3" s="1"/>
  <c r="M20" i="3" s="1"/>
  <c r="N20" i="3" s="1"/>
  <c r="O20" i="3" s="1"/>
  <c r="P20" i="3" s="1"/>
  <c r="Q20" i="3" s="1"/>
  <c r="R20" i="3" s="1"/>
  <c r="S20" i="3" s="1"/>
  <c r="T20" i="3" s="1"/>
  <c r="U20" i="3" s="1"/>
  <c r="V20" i="3" s="1"/>
  <c r="W20" i="3" s="1"/>
  <c r="X20" i="3" s="1"/>
  <c r="Y20" i="3" s="1"/>
  <c r="Z20" i="3" s="1"/>
  <c r="AA20" i="3" s="1"/>
  <c r="AB20" i="3" s="1"/>
  <c r="AC20" i="3" s="1"/>
  <c r="AD20" i="3" s="1"/>
  <c r="AE20" i="3" s="1"/>
  <c r="AF20" i="3" s="1"/>
  <c r="AG20" i="3" s="1"/>
  <c r="AH20" i="3" s="1"/>
  <c r="B35" i="3"/>
  <c r="AK70" i="2"/>
  <c r="AK66" i="2"/>
  <c r="F67" i="2"/>
  <c r="B54" i="7"/>
  <c r="B53" i="7"/>
  <c r="E58" i="7"/>
  <c r="E56" i="7"/>
  <c r="C61" i="7"/>
  <c r="C60" i="7"/>
  <c r="B8" i="7"/>
  <c r="B7" i="7"/>
  <c r="A2" i="7"/>
  <c r="A1" i="7"/>
  <c r="E43" i="9"/>
  <c r="D46" i="9"/>
  <c r="E46" i="9"/>
  <c r="F46" i="9"/>
  <c r="G46" i="9"/>
  <c r="H46" i="9"/>
  <c r="I46" i="9"/>
  <c r="J46" i="9"/>
  <c r="K46" i="9"/>
  <c r="L46" i="9"/>
  <c r="O46" i="9"/>
  <c r="P46" i="9"/>
  <c r="Q46" i="9"/>
  <c r="T46" i="9"/>
  <c r="U46" i="9"/>
  <c r="W46" i="9"/>
  <c r="X46" i="9"/>
  <c r="Y46" i="9"/>
  <c r="Z46" i="9"/>
  <c r="AA46" i="9"/>
  <c r="AB46" i="9"/>
  <c r="AC46" i="9"/>
  <c r="AD46" i="9"/>
  <c r="AE46" i="9"/>
  <c r="AF46" i="9"/>
  <c r="AH46" i="9"/>
  <c r="B33" i="9"/>
  <c r="A1" i="9"/>
  <c r="A2" i="9"/>
  <c r="A19" i="9"/>
  <c r="A41" i="9" s="1"/>
  <c r="A20" i="9"/>
  <c r="A42" i="9"/>
  <c r="A21" i="9"/>
  <c r="A43" i="9" s="1"/>
  <c r="J21" i="9"/>
  <c r="J43" i="9"/>
  <c r="K21" i="9"/>
  <c r="K43" i="9" s="1"/>
  <c r="L21" i="9"/>
  <c r="L43" i="9"/>
  <c r="M21" i="9"/>
  <c r="M43" i="9" s="1"/>
  <c r="N21" i="9"/>
  <c r="N43" i="9"/>
  <c r="O21" i="9"/>
  <c r="O43" i="9" s="1"/>
  <c r="P21" i="9"/>
  <c r="P43" i="9"/>
  <c r="Q21" i="9"/>
  <c r="Q43" i="9" s="1"/>
  <c r="R21" i="9"/>
  <c r="R43" i="9"/>
  <c r="S21" i="9"/>
  <c r="S43" i="9" s="1"/>
  <c r="T21" i="9"/>
  <c r="T43" i="9"/>
  <c r="U21" i="9"/>
  <c r="U43" i="9" s="1"/>
  <c r="V21" i="9"/>
  <c r="V43" i="9"/>
  <c r="W21" i="9"/>
  <c r="W43" i="9" s="1"/>
  <c r="X21" i="9"/>
  <c r="X43" i="9"/>
  <c r="Y21" i="9"/>
  <c r="Y43" i="9" s="1"/>
  <c r="Z21" i="9"/>
  <c r="Z43" i="9"/>
  <c r="AA21" i="9"/>
  <c r="AA43" i="9" s="1"/>
  <c r="AB21" i="9"/>
  <c r="AB43" i="9"/>
  <c r="AC21" i="9"/>
  <c r="AC43" i="9" s="1"/>
  <c r="AD21" i="9"/>
  <c r="AD43" i="9"/>
  <c r="AE21" i="9"/>
  <c r="AE43" i="9" s="1"/>
  <c r="AF21" i="9"/>
  <c r="AF43" i="9"/>
  <c r="AG21" i="9"/>
  <c r="AG43" i="9" s="1"/>
  <c r="AH21" i="9"/>
  <c r="AH43" i="9"/>
  <c r="C43" i="9"/>
  <c r="I43" i="9"/>
  <c r="G43" i="9"/>
  <c r="H43" i="9"/>
  <c r="F43" i="9"/>
  <c r="B22" i="9"/>
  <c r="B44" i="9"/>
  <c r="S37" i="9"/>
  <c r="S38" i="9" s="1"/>
  <c r="Y37" i="9"/>
  <c r="Y38" i="9" s="1"/>
  <c r="M37" i="9"/>
  <c r="M38" i="9"/>
  <c r="J37" i="9"/>
  <c r="J38" i="9" s="1"/>
  <c r="N37" i="9"/>
  <c r="N38" i="9"/>
  <c r="U37" i="9"/>
  <c r="U38" i="9" s="1"/>
  <c r="O37" i="9"/>
  <c r="O38" i="9"/>
  <c r="R37" i="9"/>
  <c r="R38" i="9" s="1"/>
  <c r="V37" i="9"/>
  <c r="V38" i="9" s="1"/>
  <c r="AD37" i="9"/>
  <c r="AD38" i="9"/>
  <c r="AF37" i="9"/>
  <c r="AF38" i="9" s="1"/>
  <c r="AB37" i="9"/>
  <c r="AB38" i="9" s="1"/>
  <c r="AH41" i="9"/>
  <c r="A2" i="4"/>
  <c r="A1" i="4"/>
  <c r="BG21" i="4"/>
  <c r="CF27" i="4"/>
  <c r="CE27" i="4"/>
  <c r="CD27" i="4"/>
  <c r="CC27" i="4"/>
  <c r="CB27" i="4"/>
  <c r="CA27" i="4"/>
  <c r="BZ27" i="4"/>
  <c r="BY27" i="4"/>
  <c r="BX27" i="4"/>
  <c r="BW27" i="4"/>
  <c r="BV27" i="4"/>
  <c r="BU27" i="4"/>
  <c r="CG26" i="4"/>
  <c r="CG25" i="4"/>
  <c r="CG22" i="4"/>
  <c r="CG21" i="4"/>
  <c r="CF19" i="4"/>
  <c r="CE19" i="4"/>
  <c r="CD19" i="4"/>
  <c r="CC19" i="4"/>
  <c r="CB19" i="4"/>
  <c r="CA19" i="4"/>
  <c r="BZ19" i="4"/>
  <c r="BY19" i="4"/>
  <c r="BX19" i="4"/>
  <c r="BW19" i="4"/>
  <c r="BV19" i="4"/>
  <c r="CG19" i="4"/>
  <c r="BU19" i="4"/>
  <c r="CG18" i="4"/>
  <c r="CG17" i="4"/>
  <c r="CG16" i="4"/>
  <c r="CG15" i="4"/>
  <c r="CF13" i="4"/>
  <c r="CE13" i="4"/>
  <c r="CD13" i="4"/>
  <c r="CC13" i="4"/>
  <c r="CB13" i="4"/>
  <c r="CA13" i="4"/>
  <c r="BZ13" i="4"/>
  <c r="BY13" i="4"/>
  <c r="BX13" i="4"/>
  <c r="CG13" i="4"/>
  <c r="BW13" i="4"/>
  <c r="BV13" i="4"/>
  <c r="BU13" i="4"/>
  <c r="CG12" i="4"/>
  <c r="CG11" i="4"/>
  <c r="CG10" i="4"/>
  <c r="BS27" i="4"/>
  <c r="BR27" i="4"/>
  <c r="BQ27" i="4"/>
  <c r="BP27" i="4"/>
  <c r="BO27" i="4"/>
  <c r="BN27" i="4"/>
  <c r="BM27" i="4"/>
  <c r="BL27" i="4"/>
  <c r="BK27" i="4"/>
  <c r="BJ27" i="4"/>
  <c r="BI27" i="4"/>
  <c r="BH27" i="4"/>
  <c r="BT26" i="4"/>
  <c r="BT25" i="4"/>
  <c r="BT27" i="4" s="1"/>
  <c r="BT22" i="4"/>
  <c r="BT21" i="4"/>
  <c r="BS19" i="4"/>
  <c r="BR19" i="4"/>
  <c r="BQ19" i="4"/>
  <c r="BP19" i="4"/>
  <c r="BO19" i="4"/>
  <c r="BN19" i="4"/>
  <c r="BM19" i="4"/>
  <c r="BL19" i="4"/>
  <c r="BK19" i="4"/>
  <c r="BJ19" i="4"/>
  <c r="BT19" i="4" s="1"/>
  <c r="BI19" i="4"/>
  <c r="BH19" i="4"/>
  <c r="BT18" i="4"/>
  <c r="BT17" i="4"/>
  <c r="BT16" i="4"/>
  <c r="BT15" i="4"/>
  <c r="BS13" i="4"/>
  <c r="BR13" i="4"/>
  <c r="BQ13" i="4"/>
  <c r="BP13" i="4"/>
  <c r="BO13" i="4"/>
  <c r="BN13" i="4"/>
  <c r="BM13" i="4"/>
  <c r="BL13" i="4"/>
  <c r="BK13" i="4"/>
  <c r="BJ13" i="4"/>
  <c r="BI13" i="4"/>
  <c r="BH13" i="4"/>
  <c r="BT13" i="4"/>
  <c r="BT12" i="4"/>
  <c r="BT11" i="4"/>
  <c r="BT10" i="4"/>
  <c r="BF27" i="4"/>
  <c r="BE27" i="4"/>
  <c r="BD27" i="4"/>
  <c r="BC27" i="4"/>
  <c r="BB27" i="4"/>
  <c r="BA27" i="4"/>
  <c r="AZ27" i="4"/>
  <c r="AY27" i="4"/>
  <c r="AX27" i="4"/>
  <c r="AW27" i="4"/>
  <c r="AV27" i="4"/>
  <c r="AU27" i="4"/>
  <c r="BG26" i="4"/>
  <c r="BG27" i="4" s="1"/>
  <c r="BG25" i="4"/>
  <c r="BG22" i="4"/>
  <c r="BF19" i="4"/>
  <c r="BE19" i="4"/>
  <c r="BD19" i="4"/>
  <c r="BC19" i="4"/>
  <c r="BB19" i="4"/>
  <c r="BA19" i="4"/>
  <c r="AZ19" i="4"/>
  <c r="AY19" i="4"/>
  <c r="AX19" i="4"/>
  <c r="AW19" i="4"/>
  <c r="BG19" i="4" s="1"/>
  <c r="AV19" i="4"/>
  <c r="AU19" i="4"/>
  <c r="BG18" i="4"/>
  <c r="BG17" i="4"/>
  <c r="BG16" i="4"/>
  <c r="BG15" i="4"/>
  <c r="BF13" i="4"/>
  <c r="BE13" i="4"/>
  <c r="BD13" i="4"/>
  <c r="BC13" i="4"/>
  <c r="BB13" i="4"/>
  <c r="BA13" i="4"/>
  <c r="AZ13" i="4"/>
  <c r="AY13" i="4"/>
  <c r="AX13" i="4"/>
  <c r="AW13" i="4"/>
  <c r="AV13" i="4"/>
  <c r="AU13" i="4"/>
  <c r="BG12" i="4"/>
  <c r="CV12" i="4" s="1"/>
  <c r="BG11" i="4"/>
  <c r="BG10" i="4"/>
  <c r="H5" i="4"/>
  <c r="T5" i="4" s="1"/>
  <c r="A5" i="4"/>
  <c r="T10" i="4"/>
  <c r="AJ13" i="4"/>
  <c r="T11" i="4"/>
  <c r="AG11" i="4"/>
  <c r="AT11" i="4"/>
  <c r="CV11" i="4" s="1"/>
  <c r="CT11" i="4"/>
  <c r="AG12" i="4"/>
  <c r="AT12" i="4"/>
  <c r="CT12" i="4"/>
  <c r="H13" i="4"/>
  <c r="I13" i="4"/>
  <c r="J13" i="4"/>
  <c r="K13" i="4"/>
  <c r="L13" i="4"/>
  <c r="M13" i="4"/>
  <c r="N13" i="4"/>
  <c r="O13" i="4"/>
  <c r="P13" i="4"/>
  <c r="Q13" i="4"/>
  <c r="S13" i="4"/>
  <c r="U13" i="4"/>
  <c r="V13" i="4"/>
  <c r="W13" i="4"/>
  <c r="AC13" i="4"/>
  <c r="AF13" i="4"/>
  <c r="AI13" i="4"/>
  <c r="AK13" i="4"/>
  <c r="AN13" i="4"/>
  <c r="AO13" i="4"/>
  <c r="AP13" i="4"/>
  <c r="AQ13" i="4"/>
  <c r="AR13" i="4"/>
  <c r="AS13" i="4"/>
  <c r="CH13" i="4"/>
  <c r="CI13" i="4"/>
  <c r="CJ13" i="4"/>
  <c r="CL13" i="4"/>
  <c r="CM13" i="4"/>
  <c r="CN13" i="4"/>
  <c r="CO13" i="4"/>
  <c r="CP13" i="4"/>
  <c r="CQ13" i="4"/>
  <c r="CR13" i="4"/>
  <c r="T15" i="4"/>
  <c r="CT15" i="4"/>
  <c r="T16" i="4"/>
  <c r="CT16" i="4"/>
  <c r="T17" i="4"/>
  <c r="AG17" i="4"/>
  <c r="CV17" i="4" s="1"/>
  <c r="AT17" i="4"/>
  <c r="CT17" i="4"/>
  <c r="T18" i="4"/>
  <c r="AG18" i="4"/>
  <c r="CV18" i="4" s="1"/>
  <c r="AT18" i="4"/>
  <c r="CT18" i="4"/>
  <c r="H19" i="4"/>
  <c r="T19" i="4" s="1"/>
  <c r="I19" i="4"/>
  <c r="J19" i="4"/>
  <c r="K19" i="4"/>
  <c r="L19" i="4"/>
  <c r="M19" i="4"/>
  <c r="N19" i="4"/>
  <c r="O19" i="4"/>
  <c r="P19" i="4"/>
  <c r="Q19" i="4"/>
  <c r="R19" i="4"/>
  <c r="S19" i="4"/>
  <c r="U19" i="4"/>
  <c r="V19" i="4"/>
  <c r="W19" i="4"/>
  <c r="X19" i="4"/>
  <c r="Z19" i="4"/>
  <c r="AA19" i="4"/>
  <c r="AC19" i="4"/>
  <c r="AD19" i="4"/>
  <c r="AF19" i="4"/>
  <c r="AH19" i="4"/>
  <c r="AI19" i="4"/>
  <c r="AJ19" i="4"/>
  <c r="AL19" i="4"/>
  <c r="AM19" i="4"/>
  <c r="AN19" i="4"/>
  <c r="AO19" i="4"/>
  <c r="AP19" i="4"/>
  <c r="AQ19" i="4"/>
  <c r="AR19" i="4"/>
  <c r="AS19" i="4"/>
  <c r="CH19" i="4"/>
  <c r="CI19" i="4"/>
  <c r="CJ19" i="4"/>
  <c r="CK19" i="4"/>
  <c r="CL19" i="4"/>
  <c r="CT19" i="4" s="1"/>
  <c r="CM19" i="4"/>
  <c r="CN19" i="4"/>
  <c r="CO19" i="4"/>
  <c r="CP19" i="4"/>
  <c r="CQ19" i="4"/>
  <c r="CR19" i="4"/>
  <c r="CS19" i="4"/>
  <c r="CT21" i="4"/>
  <c r="T22" i="4"/>
  <c r="CT22" i="4"/>
  <c r="CT26" i="4"/>
  <c r="B26" i="4" s="1"/>
  <c r="H27" i="4"/>
  <c r="I27" i="4"/>
  <c r="J27" i="4"/>
  <c r="K27" i="4"/>
  <c r="L27" i="4"/>
  <c r="M27" i="4"/>
  <c r="N27" i="4"/>
  <c r="O27" i="4"/>
  <c r="P27" i="4"/>
  <c r="Q27" i="4"/>
  <c r="S27" i="4"/>
  <c r="U27" i="4"/>
  <c r="V27" i="4"/>
  <c r="W27" i="4"/>
  <c r="X27" i="4"/>
  <c r="Z27" i="4"/>
  <c r="AA27" i="4"/>
  <c r="AC27" i="4"/>
  <c r="AD27" i="4"/>
  <c r="AF27" i="4"/>
  <c r="AH27" i="4"/>
  <c r="AI27" i="4"/>
  <c r="AJ27" i="4"/>
  <c r="AL27" i="4"/>
  <c r="AM27" i="4"/>
  <c r="AN27" i="4"/>
  <c r="AO27" i="4"/>
  <c r="AP27" i="4"/>
  <c r="AQ27" i="4"/>
  <c r="AR27" i="4"/>
  <c r="AS27" i="4"/>
  <c r="CH27" i="4"/>
  <c r="CI27" i="4"/>
  <c r="CJ27" i="4"/>
  <c r="CK27" i="4"/>
  <c r="CL27" i="4"/>
  <c r="CM27" i="4"/>
  <c r="CN27" i="4"/>
  <c r="CO27" i="4"/>
  <c r="CP27" i="4"/>
  <c r="CQ27" i="4"/>
  <c r="CR27" i="4"/>
  <c r="CS27" i="4"/>
  <c r="CW27" i="4"/>
  <c r="T21" i="4"/>
  <c r="X13" i="4"/>
  <c r="AB13" i="4"/>
  <c r="AD13" i="4"/>
  <c r="Z13" i="4"/>
  <c r="AL13" i="4"/>
  <c r="H23" i="4"/>
  <c r="I23" i="4" s="1"/>
  <c r="J23" i="4" s="1"/>
  <c r="K23" i="4" s="1"/>
  <c r="L23" i="4" s="1"/>
  <c r="M23" i="4" s="1"/>
  <c r="N23" i="4" s="1"/>
  <c r="O23" i="4" s="1"/>
  <c r="P23" i="4" s="1"/>
  <c r="Q23" i="4" s="1"/>
  <c r="R23" i="4" s="1"/>
  <c r="S23" i="4" s="1"/>
  <c r="B140" i="8"/>
  <c r="B141" i="8"/>
  <c r="B120" i="8"/>
  <c r="B123" i="8" s="1"/>
  <c r="B122" i="8"/>
  <c r="B121" i="8"/>
  <c r="A1" i="8"/>
  <c r="A2" i="8"/>
  <c r="B166" i="8"/>
  <c r="B165" i="8"/>
  <c r="B158" i="8"/>
  <c r="B160" i="8"/>
  <c r="B156" i="8"/>
  <c r="B163" i="8"/>
  <c r="B159" i="8"/>
  <c r="B56" i="8"/>
  <c r="B50" i="8"/>
  <c r="B6" i="8"/>
  <c r="B70" i="8" s="1"/>
  <c r="B153" i="8"/>
  <c r="C153" i="8" s="1"/>
  <c r="D153" i="8" s="1"/>
  <c r="E153" i="8"/>
  <c r="F153" i="8"/>
  <c r="G153" i="8" s="1"/>
  <c r="H153" i="8" s="1"/>
  <c r="I153" i="8" s="1"/>
  <c r="J153" i="8" s="1"/>
  <c r="K153" i="8" s="1"/>
  <c r="L153" i="8" s="1"/>
  <c r="M153" i="8"/>
  <c r="N153" i="8" s="1"/>
  <c r="O153" i="8" s="1"/>
  <c r="P153" i="8" s="1"/>
  <c r="Q153" i="8" s="1"/>
  <c r="R153" i="8" s="1"/>
  <c r="S153" i="8" s="1"/>
  <c r="T153" i="8" s="1"/>
  <c r="U153" i="8" s="1"/>
  <c r="V153" i="8"/>
  <c r="W153" i="8" s="1"/>
  <c r="X153" i="8" s="1"/>
  <c r="Y153" i="8" s="1"/>
  <c r="Z153" i="8" s="1"/>
  <c r="AA153" i="8" s="1"/>
  <c r="AB153" i="8" s="1"/>
  <c r="AC153" i="8" s="1"/>
  <c r="AD153" i="8" s="1"/>
  <c r="AE153" i="8" s="1"/>
  <c r="AF153" i="8" s="1"/>
  <c r="AG153" i="8" s="1"/>
  <c r="AH153" i="8" s="1"/>
  <c r="B164" i="8"/>
  <c r="B133" i="8"/>
  <c r="B162" i="8"/>
  <c r="B157" i="8"/>
  <c r="B134" i="8"/>
  <c r="B115" i="8"/>
  <c r="C6" i="8"/>
  <c r="C70" i="8" s="1"/>
  <c r="D6" i="8"/>
  <c r="R27" i="4"/>
  <c r="B32" i="9"/>
  <c r="G67" i="2"/>
  <c r="E28" i="2"/>
  <c r="E71" i="2"/>
  <c r="E219" i="1"/>
  <c r="D69" i="2"/>
  <c r="E67" i="2"/>
  <c r="AK68" i="2"/>
  <c r="D67" i="2"/>
  <c r="AF178" i="5"/>
  <c r="X178" i="5"/>
  <c r="J178" i="5"/>
  <c r="AD178" i="5"/>
  <c r="V178" i="5"/>
  <c r="R178" i="5"/>
  <c r="AB178" i="5"/>
  <c r="N178" i="5"/>
  <c r="Z178" i="5"/>
  <c r="L178" i="5"/>
  <c r="Y178" i="5"/>
  <c r="J306" i="5"/>
  <c r="K306" i="5"/>
  <c r="L306" i="5" s="1"/>
  <c r="M306" i="5" s="1"/>
  <c r="N306" i="5" s="1"/>
  <c r="O306" i="5" s="1"/>
  <c r="P306" i="5" s="1"/>
  <c r="Q306" i="5" s="1"/>
  <c r="R306" i="5" s="1"/>
  <c r="S306" i="5" s="1"/>
  <c r="T306" i="5" s="1"/>
  <c r="U306" i="5" s="1"/>
  <c r="V306" i="5" s="1"/>
  <c r="W306" i="5" s="1"/>
  <c r="X306" i="5" s="1"/>
  <c r="Y306" i="5" s="1"/>
  <c r="Z306" i="5" s="1"/>
  <c r="AA306" i="5" s="1"/>
  <c r="AB306" i="5" s="1"/>
  <c r="AC306" i="5" s="1"/>
  <c r="AD306" i="5" s="1"/>
  <c r="AE306" i="5" s="1"/>
  <c r="AF306" i="5" s="1"/>
  <c r="AG306" i="5" s="1"/>
  <c r="AH306" i="5" s="1"/>
  <c r="B314" i="5"/>
  <c r="AH178" i="5"/>
  <c r="AH15" i="9"/>
  <c r="AC178" i="5"/>
  <c r="AC15" i="9"/>
  <c r="AG178" i="5"/>
  <c r="AG15" i="9"/>
  <c r="AG37" i="9" s="1"/>
  <c r="AG38" i="9" s="1"/>
  <c r="AG19" i="9"/>
  <c r="AG41" i="9" s="1"/>
  <c r="AC19" i="9"/>
  <c r="AC41" i="9" s="1"/>
  <c r="Y19" i="9"/>
  <c r="U19" i="9"/>
  <c r="Q19" i="9"/>
  <c r="Q41" i="9" s="1"/>
  <c r="M19" i="9"/>
  <c r="M41" i="9" s="1"/>
  <c r="AD19" i="9"/>
  <c r="AD41" i="9" s="1"/>
  <c r="Z19" i="9"/>
  <c r="Z41" i="9" s="1"/>
  <c r="V19" i="9"/>
  <c r="V41" i="9" s="1"/>
  <c r="R19" i="9"/>
  <c r="N19" i="9"/>
  <c r="J19" i="9"/>
  <c r="J41" i="9" s="1"/>
  <c r="W178" i="5"/>
  <c r="W15" i="9"/>
  <c r="W37" i="9" s="1"/>
  <c r="W38" i="9" s="1"/>
  <c r="AE178" i="5"/>
  <c r="AE15" i="9"/>
  <c r="AE37" i="9" s="1"/>
  <c r="P178" i="5"/>
  <c r="P15" i="9"/>
  <c r="D106" i="1"/>
  <c r="D105" i="1"/>
  <c r="F6" i="2"/>
  <c r="AF19" i="9"/>
  <c r="AB19" i="9"/>
  <c r="X19" i="9"/>
  <c r="X41" i="9" s="1"/>
  <c r="T19" i="9"/>
  <c r="T41" i="9" s="1"/>
  <c r="P19" i="9"/>
  <c r="P41" i="9" s="1"/>
  <c r="L19" i="9"/>
  <c r="K15" i="9"/>
  <c r="K178" i="5"/>
  <c r="Q178" i="5"/>
  <c r="Q15" i="9"/>
  <c r="Q37" i="9" s="1"/>
  <c r="Q38" i="9" s="1"/>
  <c r="AA178" i="5"/>
  <c r="AA15" i="9"/>
  <c r="F28" i="2"/>
  <c r="F71" i="2"/>
  <c r="E19" i="2"/>
  <c r="E18" i="2"/>
  <c r="T27" i="4"/>
  <c r="E69" i="2"/>
  <c r="H67" i="2"/>
  <c r="F219" i="1"/>
  <c r="E27" i="2"/>
  <c r="E25" i="2"/>
  <c r="E24" i="2"/>
  <c r="E17" i="2"/>
  <c r="AG16" i="4"/>
  <c r="AT16" i="4"/>
  <c r="G219" i="1"/>
  <c r="H219" i="1" s="1"/>
  <c r="F25" i="2"/>
  <c r="F19" i="2"/>
  <c r="F18" i="2"/>
  <c r="L41" i="9"/>
  <c r="AB41" i="9"/>
  <c r="AF41" i="9"/>
  <c r="E105" i="1"/>
  <c r="E106" i="1"/>
  <c r="G6" i="2"/>
  <c r="P16" i="9"/>
  <c r="P37" i="9"/>
  <c r="P38" i="9" s="1"/>
  <c r="N41" i="9"/>
  <c r="Y41" i="9"/>
  <c r="AG16" i="9"/>
  <c r="I67" i="2"/>
  <c r="F69" i="2"/>
  <c r="G28" i="2"/>
  <c r="G71" i="2"/>
  <c r="F27" i="2"/>
  <c r="E146" i="5"/>
  <c r="E147" i="5"/>
  <c r="F26" i="2"/>
  <c r="E144" i="5"/>
  <c r="F24" i="2"/>
  <c r="F17" i="2"/>
  <c r="Q16" i="9"/>
  <c r="AE16" i="9"/>
  <c r="AE38" i="9"/>
  <c r="W16" i="9"/>
  <c r="R41" i="9"/>
  <c r="U41" i="9"/>
  <c r="AC16" i="9"/>
  <c r="AC37" i="9"/>
  <c r="AC38" i="9"/>
  <c r="AT15" i="4"/>
  <c r="AK19" i="4"/>
  <c r="G27" i="2"/>
  <c r="G24" i="2"/>
  <c r="G17" i="2"/>
  <c r="G69" i="2"/>
  <c r="H28" i="2"/>
  <c r="G25" i="2"/>
  <c r="G18" i="2"/>
  <c r="G19" i="2"/>
  <c r="J67" i="2"/>
  <c r="F106" i="1"/>
  <c r="H6" i="2"/>
  <c r="F105" i="1"/>
  <c r="G106" i="1"/>
  <c r="I6" i="2"/>
  <c r="G105" i="1"/>
  <c r="F138" i="5"/>
  <c r="I28" i="2"/>
  <c r="H25" i="2"/>
  <c r="H18" i="2"/>
  <c r="H17" i="2"/>
  <c r="F136" i="5"/>
  <c r="K67" i="2"/>
  <c r="H27" i="2"/>
  <c r="H24" i="2"/>
  <c r="H19" i="2"/>
  <c r="E19" i="9"/>
  <c r="E41" i="9"/>
  <c r="L67" i="2"/>
  <c r="E108" i="5"/>
  <c r="G136" i="5"/>
  <c r="J28" i="2"/>
  <c r="I25" i="2"/>
  <c r="I18" i="2"/>
  <c r="I17" i="2"/>
  <c r="F139" i="5"/>
  <c r="H105" i="1"/>
  <c r="J6" i="2"/>
  <c r="K6" i="2"/>
  <c r="L6" i="2" s="1"/>
  <c r="M6" i="2" s="1"/>
  <c r="N6" i="2"/>
  <c r="O6" i="2" s="1"/>
  <c r="P6" i="2" s="1"/>
  <c r="Q6" i="2" s="1"/>
  <c r="R6" i="2" s="1"/>
  <c r="S6" i="2"/>
  <c r="T6" i="2" s="1"/>
  <c r="U6" i="2" s="1"/>
  <c r="V6" i="2" s="1"/>
  <c r="W6" i="2" s="1"/>
  <c r="X6" i="2" s="1"/>
  <c r="Y6" i="2" s="1"/>
  <c r="Z6" i="2" s="1"/>
  <c r="AA6" i="2" s="1"/>
  <c r="AB6" i="2" s="1"/>
  <c r="AC6" i="2" s="1"/>
  <c r="AD6" i="2"/>
  <c r="AE6" i="2" s="1"/>
  <c r="AF6" i="2" s="1"/>
  <c r="AG6" i="2" s="1"/>
  <c r="AH6" i="2" s="1"/>
  <c r="AI6" i="2" s="1"/>
  <c r="AJ6" i="2" s="1"/>
  <c r="AK6" i="2" s="1"/>
  <c r="H106" i="1"/>
  <c r="F19" i="9"/>
  <c r="F41" i="9" s="1"/>
  <c r="G138" i="5"/>
  <c r="G139" i="5"/>
  <c r="F15" i="9"/>
  <c r="F37" i="9" s="1"/>
  <c r="F38" i="9" s="1"/>
  <c r="F178" i="5"/>
  <c r="I27" i="2"/>
  <c r="I24" i="2"/>
  <c r="I19" i="2"/>
  <c r="H136" i="5"/>
  <c r="H139" i="5" s="1"/>
  <c r="J27" i="2"/>
  <c r="J24" i="2"/>
  <c r="J19" i="2"/>
  <c r="M67" i="2"/>
  <c r="H138" i="5"/>
  <c r="J25" i="2"/>
  <c r="J18" i="2"/>
  <c r="J17" i="2"/>
  <c r="Y19" i="4"/>
  <c r="G178" i="5"/>
  <c r="G15" i="9"/>
  <c r="N67" i="2"/>
  <c r="AE27" i="4"/>
  <c r="AB27" i="4"/>
  <c r="AG22" i="4"/>
  <c r="O67" i="2"/>
  <c r="G16" i="9"/>
  <c r="G37" i="9"/>
  <c r="G38" i="9"/>
  <c r="AB19" i="4"/>
  <c r="AE13" i="4"/>
  <c r="H15" i="9"/>
  <c r="H178" i="5"/>
  <c r="AT22" i="4"/>
  <c r="AE19" i="4"/>
  <c r="AG15" i="4"/>
  <c r="AT21" i="4"/>
  <c r="H16" i="9"/>
  <c r="H37" i="9"/>
  <c r="H38" i="9"/>
  <c r="I178" i="5"/>
  <c r="I15" i="9"/>
  <c r="AH13" i="4"/>
  <c r="P67" i="2"/>
  <c r="AG21" i="4"/>
  <c r="AT27" i="4"/>
  <c r="AK27" i="4"/>
  <c r="Y27" i="4"/>
  <c r="Q67" i="2"/>
  <c r="R67" i="2"/>
  <c r="AG27" i="4"/>
  <c r="S67" i="2"/>
  <c r="T67" i="2"/>
  <c r="U67" i="2"/>
  <c r="V67" i="2"/>
  <c r="W67" i="2"/>
  <c r="X67" i="2"/>
  <c r="Y67" i="2"/>
  <c r="Z67" i="2"/>
  <c r="AA67" i="2"/>
  <c r="AJ41" i="2"/>
  <c r="AJ40" i="2"/>
  <c r="AB67" i="2"/>
  <c r="AC67" i="2"/>
  <c r="AJ52" i="2"/>
  <c r="AJ51" i="2"/>
  <c r="AK41" i="2"/>
  <c r="AK40" i="2"/>
  <c r="AJ42" i="2"/>
  <c r="AK42" i="2"/>
  <c r="AK52" i="2"/>
  <c r="AK51" i="2"/>
  <c r="AJ53" i="2"/>
  <c r="AD67" i="2"/>
  <c r="AK53" i="2"/>
  <c r="AE67" i="2"/>
  <c r="AF67" i="2"/>
  <c r="AG67" i="2"/>
  <c r="AH67" i="2"/>
  <c r="AI67" i="2"/>
  <c r="AJ67" i="2"/>
  <c r="AK67" i="2"/>
  <c r="AJ36" i="2"/>
  <c r="AJ38" i="2"/>
  <c r="AJ46" i="2"/>
  <c r="AJ48" i="2"/>
  <c r="AJ49" i="2"/>
  <c r="AJ35" i="2"/>
  <c r="AJ37" i="2"/>
  <c r="AJ34" i="2"/>
  <c r="AJ45" i="2"/>
  <c r="AJ47" i="2"/>
  <c r="AK34" i="2"/>
  <c r="AK35" i="2"/>
  <c r="AK48" i="2"/>
  <c r="AK36" i="2"/>
  <c r="AK47" i="2"/>
  <c r="AK45" i="2"/>
  <c r="AK37" i="2"/>
  <c r="AK49" i="2"/>
  <c r="AK46" i="2"/>
  <c r="AK38" i="2"/>
  <c r="CS13" i="4"/>
  <c r="D43" i="9"/>
  <c r="AT10" i="4"/>
  <c r="CV10" i="4" s="1"/>
  <c r="CT10" i="4"/>
  <c r="CK13" i="4"/>
  <c r="CT13" i="4" s="1"/>
  <c r="R13" i="4"/>
  <c r="AA13" i="4"/>
  <c r="Y13" i="4"/>
  <c r="AG13" i="4"/>
  <c r="AM13" i="4"/>
  <c r="AG10" i="4"/>
  <c r="T12" i="4"/>
  <c r="AH315" i="5"/>
  <c r="AH313" i="5"/>
  <c r="AH203" i="5" s="1"/>
  <c r="B255" i="5"/>
  <c r="B259" i="5" s="1"/>
  <c r="B257" i="5" s="1"/>
  <c r="C260" i="5"/>
  <c r="B21" i="9"/>
  <c r="B43" i="9" s="1"/>
  <c r="C257" i="5"/>
  <c r="C256" i="5" s="1"/>
  <c r="AE8" i="10"/>
  <c r="AE238" i="1"/>
  <c r="AG63" i="2"/>
  <c r="B288" i="5"/>
  <c r="AU20" i="4"/>
  <c r="AV20" i="4"/>
  <c r="AW20" i="4" s="1"/>
  <c r="AX20" i="4"/>
  <c r="AY20" i="4" s="1"/>
  <c r="AZ20" i="4" s="1"/>
  <c r="BA20" i="4" s="1"/>
  <c r="BB20" i="4" s="1"/>
  <c r="BC20" i="4" s="1"/>
  <c r="BD20" i="4" s="1"/>
  <c r="BE20" i="4" s="1"/>
  <c r="BF20" i="4" s="1"/>
  <c r="BG20" i="4" s="1"/>
  <c r="AU23" i="4"/>
  <c r="AV23" i="4" s="1"/>
  <c r="AW23" i="4"/>
  <c r="AX23" i="4" s="1"/>
  <c r="AY23" i="4" s="1"/>
  <c r="AZ23" i="4" s="1"/>
  <c r="BA23" i="4" s="1"/>
  <c r="BB23" i="4" s="1"/>
  <c r="BC23" i="4" s="1"/>
  <c r="BD23" i="4" s="1"/>
  <c r="BE23" i="4" s="1"/>
  <c r="BF23" i="4" s="1"/>
  <c r="BG23" i="4" s="1"/>
  <c r="I16" i="9"/>
  <c r="I37" i="9"/>
  <c r="I38" i="9" s="1"/>
  <c r="K16" i="9"/>
  <c r="K37" i="9"/>
  <c r="K38" i="9"/>
  <c r="AT19" i="4"/>
  <c r="CV25" i="4"/>
  <c r="E76" i="2"/>
  <c r="CV21" i="4"/>
  <c r="CV22" i="4"/>
  <c r="F8" i="10"/>
  <c r="F238" i="1"/>
  <c r="L8" i="10"/>
  <c r="L238" i="1"/>
  <c r="I8" i="10"/>
  <c r="I238" i="1"/>
  <c r="AB8" i="10"/>
  <c r="AB238" i="1"/>
  <c r="B238" i="5"/>
  <c r="C238" i="1"/>
  <c r="D161" i="5"/>
  <c r="D163" i="5" s="1"/>
  <c r="D244" i="5" s="1"/>
  <c r="C32" i="9"/>
  <c r="C188" i="5"/>
  <c r="C238" i="5"/>
  <c r="H140" i="8"/>
  <c r="H58" i="8"/>
  <c r="H111" i="1"/>
  <c r="E162" i="5"/>
  <c r="F62" i="5"/>
  <c r="G62" i="5" s="1"/>
  <c r="B194" i="1"/>
  <c r="C170" i="1"/>
  <c r="C30" i="8"/>
  <c r="B74" i="1"/>
  <c r="D136" i="5"/>
  <c r="F104" i="5"/>
  <c r="D104" i="5"/>
  <c r="B102" i="5"/>
  <c r="B56" i="5" s="1"/>
  <c r="C56" i="5" s="1"/>
  <c r="B142" i="5"/>
  <c r="B144" i="5"/>
  <c r="B181" i="1"/>
  <c r="C88" i="8" s="1"/>
  <c r="C157" i="1"/>
  <c r="C24" i="8"/>
  <c r="C98" i="1"/>
  <c r="C122" i="8" s="1"/>
  <c r="C141" i="8"/>
  <c r="B183" i="1"/>
  <c r="C159" i="1"/>
  <c r="D26" i="8" s="1"/>
  <c r="C26" i="8"/>
  <c r="C172" i="8" s="1"/>
  <c r="B104" i="5"/>
  <c r="B68" i="5" s="1"/>
  <c r="B145" i="5"/>
  <c r="B146" i="5"/>
  <c r="C104" i="5"/>
  <c r="C99" i="5"/>
  <c r="C137" i="5"/>
  <c r="C138" i="5" s="1"/>
  <c r="B192" i="1"/>
  <c r="B193" i="1" s="1"/>
  <c r="C168" i="1"/>
  <c r="D28" i="8" s="1"/>
  <c r="C28" i="8"/>
  <c r="C29" i="8"/>
  <c r="E155" i="5"/>
  <c r="E178" i="5" s="1"/>
  <c r="C66" i="5"/>
  <c r="D64" i="5" s="1"/>
  <c r="D65" i="5"/>
  <c r="D66" i="5" s="1"/>
  <c r="E64" i="5" s="1"/>
  <c r="E65" i="5" s="1"/>
  <c r="E66" i="5" s="1"/>
  <c r="F64" i="5" s="1"/>
  <c r="F65" i="5" s="1"/>
  <c r="F66" i="5" s="1"/>
  <c r="G64" i="5" s="1"/>
  <c r="G65" i="5" s="1"/>
  <c r="B99" i="5"/>
  <c r="B47" i="5"/>
  <c r="B137" i="5"/>
  <c r="G140" i="8"/>
  <c r="G58" i="8"/>
  <c r="F140" i="8"/>
  <c r="F58" i="8"/>
  <c r="E140" i="8"/>
  <c r="E58" i="8"/>
  <c r="D140" i="8"/>
  <c r="D58" i="8"/>
  <c r="B45" i="5"/>
  <c r="C43" i="5" s="1"/>
  <c r="C44" i="5" s="1"/>
  <c r="B82" i="5"/>
  <c r="B86" i="5"/>
  <c r="D99" i="5"/>
  <c r="D100" i="5" s="1"/>
  <c r="D137" i="5"/>
  <c r="D138" i="5" s="1"/>
  <c r="D142" i="5"/>
  <c r="D144" i="5"/>
  <c r="D102" i="5"/>
  <c r="F102" i="5"/>
  <c r="B97" i="5"/>
  <c r="B35" i="5" s="1"/>
  <c r="B134" i="5"/>
  <c r="C41" i="5"/>
  <c r="C82" i="5" s="1"/>
  <c r="C21" i="5"/>
  <c r="D10" i="5" s="1"/>
  <c r="D21" i="5"/>
  <c r="E21" i="5" s="1"/>
  <c r="C10" i="5"/>
  <c r="C28" i="5"/>
  <c r="C20" i="5"/>
  <c r="D60" i="2"/>
  <c r="C258" i="5"/>
  <c r="C22" i="9" s="1"/>
  <c r="E2" i="2"/>
  <c r="C25" i="5"/>
  <c r="C14" i="5"/>
  <c r="C142" i="5"/>
  <c r="C144" i="5" s="1"/>
  <c r="C102" i="5"/>
  <c r="B150" i="5"/>
  <c r="B152" i="5" s="1"/>
  <c r="B136" i="5"/>
  <c r="D159" i="1"/>
  <c r="D19" i="9"/>
  <c r="D162" i="5"/>
  <c r="B51" i="5"/>
  <c r="C49" i="5" s="1"/>
  <c r="C50" i="5" s="1"/>
  <c r="D29" i="8"/>
  <c r="C169" i="1"/>
  <c r="E52" i="2" s="1"/>
  <c r="E51" i="2"/>
  <c r="D53" i="8"/>
  <c r="D98" i="1"/>
  <c r="F9" i="2" s="1"/>
  <c r="C194" i="1"/>
  <c r="D94" i="8" s="1"/>
  <c r="C94" i="8"/>
  <c r="D150" i="5"/>
  <c r="D152" i="5" s="1"/>
  <c r="D170" i="1"/>
  <c r="E30" i="8" s="1"/>
  <c r="D30" i="8"/>
  <c r="D176" i="8" s="1"/>
  <c r="E53" i="2"/>
  <c r="B100" i="5"/>
  <c r="D29" i="2"/>
  <c r="C105" i="5"/>
  <c r="E60" i="2"/>
  <c r="E4" i="2"/>
  <c r="E74" i="2"/>
  <c r="E75" i="2"/>
  <c r="F76" i="2" s="1"/>
  <c r="F2" i="2"/>
  <c r="E3" i="2"/>
  <c r="F105" i="5"/>
  <c r="F106" i="5"/>
  <c r="E192" i="5"/>
  <c r="E15" i="9"/>
  <c r="C192" i="1"/>
  <c r="C92" i="8"/>
  <c r="C47" i="5"/>
  <c r="D47" i="5" s="1"/>
  <c r="C183" i="1"/>
  <c r="C90" i="8"/>
  <c r="C25" i="8"/>
  <c r="C31" i="8" s="1"/>
  <c r="C179" i="5"/>
  <c r="B11" i="10"/>
  <c r="C288" i="5"/>
  <c r="C243" i="5"/>
  <c r="C44" i="9"/>
  <c r="C314" i="5"/>
  <c r="C118" i="8"/>
  <c r="C45" i="5"/>
  <c r="D43" i="5" s="1"/>
  <c r="D44" i="5" s="1"/>
  <c r="D41" i="5"/>
  <c r="B60" i="5"/>
  <c r="C58" i="5" s="1"/>
  <c r="B105" i="5"/>
  <c r="E170" i="1"/>
  <c r="F30" i="8" s="1"/>
  <c r="F53" i="2"/>
  <c r="D194" i="1"/>
  <c r="C51" i="5"/>
  <c r="H62" i="5"/>
  <c r="E26" i="8"/>
  <c r="F75" i="2"/>
  <c r="D183" i="1"/>
  <c r="D90" i="8"/>
  <c r="C174" i="8"/>
  <c r="C93" i="8"/>
  <c r="C175" i="8"/>
  <c r="F108" i="5"/>
  <c r="F60" i="2"/>
  <c r="F3" i="2"/>
  <c r="F74" i="2"/>
  <c r="G2" i="2"/>
  <c r="F4" i="2"/>
  <c r="D122" i="8"/>
  <c r="E53" i="8"/>
  <c r="D41" i="9"/>
  <c r="F170" i="1"/>
  <c r="G53" i="2"/>
  <c r="I62" i="5"/>
  <c r="G74" i="2"/>
  <c r="H2" i="2"/>
  <c r="H3" i="2" s="1"/>
  <c r="G3" i="2"/>
  <c r="G4" i="2"/>
  <c r="D56" i="5"/>
  <c r="H4" i="2"/>
  <c r="I2" i="2"/>
  <c r="H60" i="2"/>
  <c r="G170" i="1"/>
  <c r="G30" i="8"/>
  <c r="H53" i="2"/>
  <c r="J62" i="5"/>
  <c r="K62" i="5"/>
  <c r="I3" i="2"/>
  <c r="I4" i="2"/>
  <c r="I60" i="2"/>
  <c r="J2" i="2"/>
  <c r="J3" i="2"/>
  <c r="J4" i="2"/>
  <c r="L62" i="5"/>
  <c r="H30" i="8" l="1"/>
  <c r="H170" i="1"/>
  <c r="I53" i="2"/>
  <c r="F42" i="2"/>
  <c r="E159" i="1"/>
  <c r="BH23" i="4"/>
  <c r="BI23" i="4" s="1"/>
  <c r="BJ23" i="4" s="1"/>
  <c r="BK23" i="4" s="1"/>
  <c r="BL23" i="4" s="1"/>
  <c r="BM23" i="4" s="1"/>
  <c r="BN23" i="4" s="1"/>
  <c r="BO23" i="4" s="1"/>
  <c r="BP23" i="4" s="1"/>
  <c r="BQ23" i="4" s="1"/>
  <c r="BR23" i="4" s="1"/>
  <c r="BS23" i="4" s="1"/>
  <c r="BT23" i="4" s="1"/>
  <c r="U23" i="4"/>
  <c r="V23" i="4" s="1"/>
  <c r="W23" i="4" s="1"/>
  <c r="X23" i="4" s="1"/>
  <c r="Y23" i="4" s="1"/>
  <c r="Z23" i="4" s="1"/>
  <c r="AA23" i="4" s="1"/>
  <c r="AB23" i="4" s="1"/>
  <c r="AC23" i="4" s="1"/>
  <c r="AD23" i="4" s="1"/>
  <c r="AE23" i="4" s="1"/>
  <c r="AF23" i="4" s="1"/>
  <c r="T23" i="4"/>
  <c r="B298" i="5"/>
  <c r="C84" i="5"/>
  <c r="C85" i="5" s="1"/>
  <c r="C86" i="5" s="1"/>
  <c r="B106" i="5"/>
  <c r="K2" i="2"/>
  <c r="J60" i="2"/>
  <c r="E56" i="5"/>
  <c r="G75" i="2"/>
  <c r="G76" i="2"/>
  <c r="D82" i="5"/>
  <c r="E41" i="5"/>
  <c r="D45" i="5"/>
  <c r="E43" i="5" s="1"/>
  <c r="E44" i="5" s="1"/>
  <c r="M62" i="5"/>
  <c r="E194" i="1"/>
  <c r="E94" i="8"/>
  <c r="E176" i="8" s="1"/>
  <c r="C59" i="5"/>
  <c r="C60" i="5" s="1"/>
  <c r="D58" i="5" s="1"/>
  <c r="F21" i="5"/>
  <c r="G21" i="5" s="1"/>
  <c r="B76" i="5"/>
  <c r="B80" i="5" s="1"/>
  <c r="B39" i="5"/>
  <c r="D157" i="1"/>
  <c r="E40" i="2"/>
  <c r="D24" i="8"/>
  <c r="C158" i="1"/>
  <c r="E41" i="2" s="1"/>
  <c r="L16" i="9"/>
  <c r="L37" i="9"/>
  <c r="L38" i="9" s="1"/>
  <c r="D286" i="5"/>
  <c r="D172" i="8"/>
  <c r="E37" i="9"/>
  <c r="E38" i="9" s="1"/>
  <c r="E16" i="9"/>
  <c r="D25" i="5"/>
  <c r="D14" i="5"/>
  <c r="C56" i="8"/>
  <c r="C115" i="8"/>
  <c r="D20" i="5"/>
  <c r="D9" i="5"/>
  <c r="C50" i="8"/>
  <c r="C68" i="5"/>
  <c r="B88" i="5"/>
  <c r="B92" i="5" s="1"/>
  <c r="B72" i="5"/>
  <c r="C170" i="8"/>
  <c r="C284" i="5"/>
  <c r="C89" i="8"/>
  <c r="C95" i="8"/>
  <c r="CV13" i="4"/>
  <c r="CW11" i="4" s="1"/>
  <c r="CW10" i="4"/>
  <c r="CW13" i="4" s="1"/>
  <c r="I74" i="2"/>
  <c r="J74" i="2" s="1"/>
  <c r="E183" i="1"/>
  <c r="E90" i="8"/>
  <c r="C176" i="8"/>
  <c r="C286" i="5"/>
  <c r="B182" i="1"/>
  <c r="C181" i="1"/>
  <c r="D68" i="5"/>
  <c r="D88" i="5" s="1"/>
  <c r="D105" i="5"/>
  <c r="D106" i="5" s="1"/>
  <c r="H74" i="2"/>
  <c r="E98" i="1"/>
  <c r="D49" i="5"/>
  <c r="D50" i="5" s="1"/>
  <c r="D51" i="5" s="1"/>
  <c r="E49" i="5" s="1"/>
  <c r="E50" i="5" s="1"/>
  <c r="C259" i="5"/>
  <c r="C242" i="5"/>
  <c r="D258" i="5"/>
  <c r="G60" i="2"/>
  <c r="E10" i="5"/>
  <c r="F10" i="5" s="1"/>
  <c r="D139" i="5"/>
  <c r="J13" i="2"/>
  <c r="K13" i="2" s="1"/>
  <c r="L13" i="2" s="1"/>
  <c r="I58" i="8"/>
  <c r="I140" i="8"/>
  <c r="B311" i="5"/>
  <c r="F16" i="9"/>
  <c r="AH16" i="9"/>
  <c r="AH37" i="9"/>
  <c r="AH38" i="9" s="1"/>
  <c r="E6" i="8"/>
  <c r="D70" i="8"/>
  <c r="H20" i="4"/>
  <c r="I20" i="4" s="1"/>
  <c r="J20" i="4" s="1"/>
  <c r="K20" i="4" s="1"/>
  <c r="L20" i="4" s="1"/>
  <c r="M20" i="4" s="1"/>
  <c r="N20" i="4" s="1"/>
  <c r="O20" i="4" s="1"/>
  <c r="P20" i="4" s="1"/>
  <c r="Q20" i="4" s="1"/>
  <c r="R20" i="4" s="1"/>
  <c r="S20" i="4" s="1"/>
  <c r="AT13" i="4"/>
  <c r="CG27" i="4"/>
  <c r="AH63" i="2"/>
  <c r="AF8" i="10"/>
  <c r="AF238" i="1"/>
  <c r="C193" i="1"/>
  <c r="D192" i="1"/>
  <c r="B242" i="5"/>
  <c r="B179" i="5"/>
  <c r="B256" i="5"/>
  <c r="AA37" i="9"/>
  <c r="AA38" i="9" s="1"/>
  <c r="AA16" i="9"/>
  <c r="CW12" i="4"/>
  <c r="B12" i="10"/>
  <c r="B14" i="10" s="1"/>
  <c r="B5" i="14" s="1"/>
  <c r="C180" i="5"/>
  <c r="E9" i="2"/>
  <c r="D168" i="1"/>
  <c r="E42" i="2"/>
  <c r="G66" i="5"/>
  <c r="H64" i="5" s="1"/>
  <c r="H65" i="5" s="1"/>
  <c r="H66" i="5" s="1"/>
  <c r="I64" i="5" s="1"/>
  <c r="I65" i="5" s="1"/>
  <c r="I66" i="5" s="1"/>
  <c r="J64" i="5" s="1"/>
  <c r="J65" i="5" s="1"/>
  <c r="J66" i="5" s="1"/>
  <c r="K64" i="5" s="1"/>
  <c r="K65" i="5" s="1"/>
  <c r="K66" i="5" s="1"/>
  <c r="L64" i="5" s="1"/>
  <c r="L65" i="5" s="1"/>
  <c r="L66" i="5" s="1"/>
  <c r="M64" i="5" s="1"/>
  <c r="M65" i="5" s="1"/>
  <c r="CV15" i="4"/>
  <c r="U5" i="4"/>
  <c r="CT27" i="4"/>
  <c r="AG19" i="4"/>
  <c r="CV16" i="4"/>
  <c r="T13" i="4"/>
  <c r="BG13" i="4"/>
  <c r="C8" i="10"/>
  <c r="E63" i="2"/>
  <c r="B172" i="8"/>
  <c r="B286" i="5"/>
  <c r="B138" i="5"/>
  <c r="B139" i="5" s="1"/>
  <c r="B153" i="5"/>
  <c r="B154" i="5" s="1"/>
  <c r="B155" i="5" s="1"/>
  <c r="B147" i="5"/>
  <c r="B75" i="1"/>
  <c r="CV26" i="4"/>
  <c r="CV27" i="4" s="1"/>
  <c r="Y8" i="10"/>
  <c r="Y238" i="1"/>
  <c r="O8" i="10"/>
  <c r="O238" i="1"/>
  <c r="B18" i="4"/>
  <c r="B66" i="1"/>
  <c r="D75" i="1"/>
  <c r="C112" i="5" s="1"/>
  <c r="B31" i="5"/>
  <c r="B6" i="11"/>
  <c r="C6" i="11" s="1"/>
  <c r="C6" i="5"/>
  <c r="C10" i="15"/>
  <c r="C24" i="15" s="1"/>
  <c r="C38" i="15" s="1"/>
  <c r="B187" i="5"/>
  <c r="C187" i="5" s="1"/>
  <c r="D187" i="5" s="1"/>
  <c r="E187" i="5" s="1"/>
  <c r="F187" i="5" s="1"/>
  <c r="G187" i="5" s="1"/>
  <c r="H187" i="5" s="1"/>
  <c r="I187" i="5" s="1"/>
  <c r="J187" i="5" s="1"/>
  <c r="K187" i="5" s="1"/>
  <c r="L187" i="5" s="1"/>
  <c r="M187" i="5" s="1"/>
  <c r="N187" i="5" s="1"/>
  <c r="O187" i="5" s="1"/>
  <c r="P187" i="5" s="1"/>
  <c r="Q187" i="5" s="1"/>
  <c r="R187" i="5" s="1"/>
  <c r="S187" i="5" s="1"/>
  <c r="T187" i="5" s="1"/>
  <c r="U187" i="5" s="1"/>
  <c r="V187" i="5" s="1"/>
  <c r="W187" i="5" s="1"/>
  <c r="X187" i="5" s="1"/>
  <c r="Y187" i="5" s="1"/>
  <c r="Z187" i="5" s="1"/>
  <c r="AA187" i="5" s="1"/>
  <c r="AB187" i="5" s="1"/>
  <c r="AC187" i="5" s="1"/>
  <c r="AD187" i="5" s="1"/>
  <c r="AE187" i="5" s="1"/>
  <c r="AF187" i="5" s="1"/>
  <c r="AG187" i="5" s="1"/>
  <c r="AH187" i="5" s="1"/>
  <c r="B294" i="5"/>
  <c r="C294" i="5" s="1"/>
  <c r="D294" i="5" s="1"/>
  <c r="E294" i="5" s="1"/>
  <c r="F294" i="5" s="1"/>
  <c r="G294" i="5" s="1"/>
  <c r="H294" i="5" s="1"/>
  <c r="I294" i="5" s="1"/>
  <c r="J294" i="5" s="1"/>
  <c r="K294" i="5" s="1"/>
  <c r="L294" i="5" s="1"/>
  <c r="M294" i="5" s="1"/>
  <c r="N294" i="5" s="1"/>
  <c r="O294" i="5" s="1"/>
  <c r="P294" i="5" s="1"/>
  <c r="Q294" i="5" s="1"/>
  <c r="R294" i="5" s="1"/>
  <c r="S294" i="5" s="1"/>
  <c r="T294" i="5" s="1"/>
  <c r="U294" i="5" s="1"/>
  <c r="V294" i="5" s="1"/>
  <c r="W294" i="5" s="1"/>
  <c r="X294" i="5" s="1"/>
  <c r="Y294" i="5" s="1"/>
  <c r="Z294" i="5" s="1"/>
  <c r="AA294" i="5" s="1"/>
  <c r="AB294" i="5" s="1"/>
  <c r="AC294" i="5" s="1"/>
  <c r="AD294" i="5" s="1"/>
  <c r="AE294" i="5" s="1"/>
  <c r="AF294" i="5" s="1"/>
  <c r="AG294" i="5" s="1"/>
  <c r="AH294" i="5" s="1"/>
  <c r="B53" i="5"/>
  <c r="B264" i="5"/>
  <c r="C264" i="5" s="1"/>
  <c r="D264" i="5" s="1"/>
  <c r="E264" i="5" s="1"/>
  <c r="F264" i="5" s="1"/>
  <c r="G264" i="5" s="1"/>
  <c r="H264" i="5" s="1"/>
  <c r="I264" i="5" s="1"/>
  <c r="J264" i="5" s="1"/>
  <c r="K264" i="5" s="1"/>
  <c r="L264" i="5" s="1"/>
  <c r="M264" i="5" s="1"/>
  <c r="N264" i="5" s="1"/>
  <c r="O264" i="5" s="1"/>
  <c r="P264" i="5" s="1"/>
  <c r="Q264" i="5" s="1"/>
  <c r="R264" i="5" s="1"/>
  <c r="S264" i="5" s="1"/>
  <c r="T264" i="5" s="1"/>
  <c r="U264" i="5" s="1"/>
  <c r="V264" i="5" s="1"/>
  <c r="W264" i="5" s="1"/>
  <c r="X264" i="5" s="1"/>
  <c r="Y264" i="5" s="1"/>
  <c r="Z264" i="5" s="1"/>
  <c r="AA264" i="5" s="1"/>
  <c r="AB264" i="5" s="1"/>
  <c r="AC264" i="5" s="1"/>
  <c r="AD264" i="5" s="1"/>
  <c r="AE264" i="5" s="1"/>
  <c r="AF264" i="5" s="1"/>
  <c r="AG264" i="5" s="1"/>
  <c r="AH264" i="5" s="1"/>
  <c r="B253" i="5"/>
  <c r="C253" i="5" s="1"/>
  <c r="D253" i="5" s="1"/>
  <c r="E253" i="5" s="1"/>
  <c r="F253" i="5" s="1"/>
  <c r="G253" i="5" s="1"/>
  <c r="H253" i="5" s="1"/>
  <c r="I253" i="5" s="1"/>
  <c r="J253" i="5" s="1"/>
  <c r="K253" i="5" s="1"/>
  <c r="L253" i="5" s="1"/>
  <c r="M253" i="5" s="1"/>
  <c r="N253" i="5" s="1"/>
  <c r="O253" i="5" s="1"/>
  <c r="P253" i="5" s="1"/>
  <c r="Q253" i="5" s="1"/>
  <c r="R253" i="5" s="1"/>
  <c r="S253" i="5" s="1"/>
  <c r="T253" i="5" s="1"/>
  <c r="U253" i="5" s="1"/>
  <c r="V253" i="5" s="1"/>
  <c r="W253" i="5" s="1"/>
  <c r="X253" i="5" s="1"/>
  <c r="Y253" i="5" s="1"/>
  <c r="Z253" i="5" s="1"/>
  <c r="AA253" i="5" s="1"/>
  <c r="AB253" i="5" s="1"/>
  <c r="AC253" i="5" s="1"/>
  <c r="AD253" i="5" s="1"/>
  <c r="AE253" i="5" s="1"/>
  <c r="AF253" i="5" s="1"/>
  <c r="AG253" i="5" s="1"/>
  <c r="AH253" i="5" s="1"/>
  <c r="B237" i="5"/>
  <c r="C237" i="5" s="1"/>
  <c r="D237" i="5" s="1"/>
  <c r="E237" i="5" s="1"/>
  <c r="F237" i="5" s="1"/>
  <c r="G237" i="5" s="1"/>
  <c r="H237" i="5" s="1"/>
  <c r="I237" i="5" s="1"/>
  <c r="J237" i="5" s="1"/>
  <c r="K237" i="5" s="1"/>
  <c r="L237" i="5" s="1"/>
  <c r="M237" i="5" s="1"/>
  <c r="N237" i="5" s="1"/>
  <c r="O237" i="5" s="1"/>
  <c r="P237" i="5" s="1"/>
  <c r="Q237" i="5" s="1"/>
  <c r="R237" i="5" s="1"/>
  <c r="S237" i="5" s="1"/>
  <c r="T237" i="5" s="1"/>
  <c r="U237" i="5" s="1"/>
  <c r="V237" i="5" s="1"/>
  <c r="W237" i="5" s="1"/>
  <c r="X237" i="5" s="1"/>
  <c r="Y237" i="5" s="1"/>
  <c r="Z237" i="5" s="1"/>
  <c r="AA237" i="5" s="1"/>
  <c r="AB237" i="5" s="1"/>
  <c r="AC237" i="5" s="1"/>
  <c r="AD237" i="5" s="1"/>
  <c r="AE237" i="5" s="1"/>
  <c r="AF237" i="5" s="1"/>
  <c r="AG237" i="5" s="1"/>
  <c r="AH237" i="5" s="1"/>
  <c r="B7" i="9"/>
  <c r="B202" i="5"/>
  <c r="C202" i="5" s="1"/>
  <c r="D202" i="5" s="1"/>
  <c r="E202" i="5" s="1"/>
  <c r="F202" i="5" s="1"/>
  <c r="G202" i="5" s="1"/>
  <c r="H202" i="5" s="1"/>
  <c r="I202" i="5" s="1"/>
  <c r="J202" i="5" s="1"/>
  <c r="K202" i="5" s="1"/>
  <c r="L202" i="5" s="1"/>
  <c r="M202" i="5" s="1"/>
  <c r="N202" i="5" s="1"/>
  <c r="O202" i="5" s="1"/>
  <c r="P202" i="5" s="1"/>
  <c r="Q202" i="5" s="1"/>
  <c r="R202" i="5" s="1"/>
  <c r="S202" i="5" s="1"/>
  <c r="T202" i="5" s="1"/>
  <c r="U202" i="5" s="1"/>
  <c r="V202" i="5" s="1"/>
  <c r="W202" i="5" s="1"/>
  <c r="X202" i="5" s="1"/>
  <c r="Y202" i="5" s="1"/>
  <c r="Z202" i="5" s="1"/>
  <c r="AA202" i="5" s="1"/>
  <c r="AB202" i="5" s="1"/>
  <c r="AC202" i="5" s="1"/>
  <c r="AD202" i="5" s="1"/>
  <c r="AE202" i="5" s="1"/>
  <c r="AF202" i="5" s="1"/>
  <c r="AG202" i="5" s="1"/>
  <c r="AH202" i="5" s="1"/>
  <c r="B173" i="5"/>
  <c r="C173" i="5" s="1"/>
  <c r="D173" i="5" s="1"/>
  <c r="E173" i="5" s="1"/>
  <c r="F173" i="5" s="1"/>
  <c r="G173" i="5" s="1"/>
  <c r="H173" i="5" s="1"/>
  <c r="I173" i="5" s="1"/>
  <c r="J173" i="5" s="1"/>
  <c r="K173" i="5" s="1"/>
  <c r="L173" i="5" s="1"/>
  <c r="M173" i="5" s="1"/>
  <c r="N173" i="5" s="1"/>
  <c r="O173" i="5" s="1"/>
  <c r="P173" i="5" s="1"/>
  <c r="Q173" i="5" s="1"/>
  <c r="R173" i="5" s="1"/>
  <c r="S173" i="5" s="1"/>
  <c r="T173" i="5" s="1"/>
  <c r="U173" i="5" s="1"/>
  <c r="V173" i="5" s="1"/>
  <c r="W173" i="5" s="1"/>
  <c r="X173" i="5" s="1"/>
  <c r="Y173" i="5" s="1"/>
  <c r="Z173" i="5" s="1"/>
  <c r="AA173" i="5" s="1"/>
  <c r="AB173" i="5" s="1"/>
  <c r="AC173" i="5" s="1"/>
  <c r="AD173" i="5" s="1"/>
  <c r="AE173" i="5" s="1"/>
  <c r="AF173" i="5" s="1"/>
  <c r="AG173" i="5" s="1"/>
  <c r="AH173" i="5" s="1"/>
  <c r="B132" i="5"/>
  <c r="C132" i="5" s="1"/>
  <c r="D132" i="5" s="1"/>
  <c r="E132" i="5" s="1"/>
  <c r="F132" i="5" s="1"/>
  <c r="G132" i="5" s="1"/>
  <c r="H132" i="5" s="1"/>
  <c r="I132" i="5" s="1"/>
  <c r="J132" i="5" s="1"/>
  <c r="K132" i="5" s="1"/>
  <c r="L132" i="5" s="1"/>
  <c r="M132" i="5" s="1"/>
  <c r="N132" i="5" s="1"/>
  <c r="O132" i="5" s="1"/>
  <c r="P132" i="5" s="1"/>
  <c r="Q132" i="5" s="1"/>
  <c r="R132" i="5" s="1"/>
  <c r="S132" i="5" s="1"/>
  <c r="T132" i="5" s="1"/>
  <c r="U132" i="5" s="1"/>
  <c r="V132" i="5" s="1"/>
  <c r="W132" i="5" s="1"/>
  <c r="X132" i="5" s="1"/>
  <c r="Y132" i="5" s="1"/>
  <c r="Z132" i="5" s="1"/>
  <c r="AA132" i="5" s="1"/>
  <c r="AB132" i="5" s="1"/>
  <c r="AC132" i="5" s="1"/>
  <c r="AD132" i="5" s="1"/>
  <c r="AE132" i="5" s="1"/>
  <c r="AF132" i="5" s="1"/>
  <c r="AG132" i="5" s="1"/>
  <c r="AH132" i="5" s="1"/>
  <c r="B158" i="5"/>
  <c r="B5" i="12"/>
  <c r="B95" i="1"/>
  <c r="B51" i="8"/>
  <c r="B8" i="11"/>
  <c r="C7" i="2"/>
  <c r="H258" i="5"/>
  <c r="O258" i="5"/>
  <c r="Q258" i="5"/>
  <c r="S258" i="5"/>
  <c r="V258" i="5"/>
  <c r="AA258" i="5"/>
  <c r="AG258" i="5"/>
  <c r="G258" i="5"/>
  <c r="L258" i="5"/>
  <c r="M258" i="5"/>
  <c r="X258" i="5"/>
  <c r="Z258" i="5"/>
  <c r="AD258" i="5"/>
  <c r="F258" i="5"/>
  <c r="K258" i="5"/>
  <c r="P258" i="5"/>
  <c r="T258" i="5"/>
  <c r="Y258" i="5"/>
  <c r="AE258" i="5"/>
  <c r="I258" i="5"/>
  <c r="J258" i="5"/>
  <c r="U258" i="5"/>
  <c r="AB258" i="5"/>
  <c r="AF258" i="5"/>
  <c r="R258" i="5"/>
  <c r="AC258" i="5"/>
  <c r="W258" i="5"/>
  <c r="AH258" i="5"/>
  <c r="E258" i="5"/>
  <c r="N258" i="5"/>
  <c r="C13" i="13"/>
  <c r="C38" i="13" s="1"/>
  <c r="C63" i="13" s="1"/>
  <c r="C88" i="13" s="1"/>
  <c r="AA8" i="10"/>
  <c r="D311" i="5"/>
  <c r="C145" i="5"/>
  <c r="D145" i="5"/>
  <c r="F29" i="2"/>
  <c r="E26" i="2"/>
  <c r="B31" i="11"/>
  <c r="C31" i="11" s="1"/>
  <c r="D31" i="11" s="1"/>
  <c r="E31" i="11" s="1"/>
  <c r="F31" i="11" s="1"/>
  <c r="G31" i="11" s="1"/>
  <c r="H31" i="11" s="1"/>
  <c r="I31" i="11" s="1"/>
  <c r="J31" i="11" s="1"/>
  <c r="K31" i="11" s="1"/>
  <c r="L31" i="11" s="1"/>
  <c r="M31" i="11" s="1"/>
  <c r="N31" i="11" s="1"/>
  <c r="O31" i="11" s="1"/>
  <c r="P31" i="11" s="1"/>
  <c r="Q31" i="11" s="1"/>
  <c r="R31" i="11" s="1"/>
  <c r="S31" i="11" s="1"/>
  <c r="T31" i="11" s="1"/>
  <c r="U31" i="11" s="1"/>
  <c r="V31" i="11" s="1"/>
  <c r="W31" i="11" s="1"/>
  <c r="X31" i="11" s="1"/>
  <c r="Y31" i="11" s="1"/>
  <c r="Z31" i="11" s="1"/>
  <c r="AA31" i="11" s="1"/>
  <c r="AB31" i="11" s="1"/>
  <c r="AC31" i="11" s="1"/>
  <c r="AD31" i="11" s="1"/>
  <c r="AE31" i="11" s="1"/>
  <c r="AF31" i="11" s="1"/>
  <c r="AG31" i="11" s="1"/>
  <c r="AH31" i="11" s="1"/>
  <c r="D238" i="1"/>
  <c r="F63" i="2"/>
  <c r="D8" i="10"/>
  <c r="G238" i="1"/>
  <c r="B170" i="8"/>
  <c r="B284" i="5"/>
  <c r="B20" i="8"/>
  <c r="B84" i="8"/>
  <c r="B278" i="5"/>
  <c r="B277" i="5" s="1"/>
  <c r="C74" i="1"/>
  <c r="F8" i="12"/>
  <c r="D12" i="3"/>
  <c r="B243" i="5"/>
  <c r="B180" i="5"/>
  <c r="B89" i="8"/>
  <c r="B25" i="8"/>
  <c r="B31" i="8" s="1"/>
  <c r="Z192" i="5"/>
  <c r="Z15" i="9"/>
  <c r="X192" i="5"/>
  <c r="X15" i="9"/>
  <c r="C97" i="1"/>
  <c r="C52" i="8"/>
  <c r="C112" i="1"/>
  <c r="C59" i="8"/>
  <c r="B108" i="1"/>
  <c r="B87" i="1"/>
  <c r="C134" i="5"/>
  <c r="D111" i="5"/>
  <c r="C97" i="5"/>
  <c r="D66" i="1"/>
  <c r="C110" i="5" s="1"/>
  <c r="I102" i="5"/>
  <c r="H66" i="1"/>
  <c r="I110" i="5" s="1"/>
  <c r="B15" i="4"/>
  <c r="E11" i="5"/>
  <c r="F11" i="5" s="1"/>
  <c r="B25" i="4"/>
  <c r="B27" i="4" s="1"/>
  <c r="T155" i="5"/>
  <c r="G66" i="1"/>
  <c r="H110" i="5" s="1"/>
  <c r="G104" i="5"/>
  <c r="F66" i="1"/>
  <c r="G110" i="5" s="1"/>
  <c r="E99" i="5"/>
  <c r="E47" i="5" s="1"/>
  <c r="C75" i="1"/>
  <c r="M108" i="5"/>
  <c r="E68" i="1"/>
  <c r="D14" i="3"/>
  <c r="I161" i="5"/>
  <c r="K161" i="5"/>
  <c r="O161" i="5"/>
  <c r="S161" i="5"/>
  <c r="W161" i="5"/>
  <c r="AA161" i="5"/>
  <c r="AE161" i="5"/>
  <c r="X139" i="5"/>
  <c r="C66" i="1"/>
  <c r="Y108" i="5"/>
  <c r="T108" i="5"/>
  <c r="L108" i="5"/>
  <c r="AB108" i="5"/>
  <c r="C16" i="5"/>
  <c r="C26" i="5"/>
  <c r="AD108" i="5"/>
  <c r="N108" i="5"/>
  <c r="C17" i="5"/>
  <c r="C12" i="5"/>
  <c r="D22" i="5"/>
  <c r="E22" i="5" s="1"/>
  <c r="B178" i="5" l="1"/>
  <c r="B192" i="5"/>
  <c r="B15" i="9"/>
  <c r="I19" i="9"/>
  <c r="H161" i="5"/>
  <c r="C161" i="5"/>
  <c r="C136" i="5"/>
  <c r="C139" i="5" s="1"/>
  <c r="B128" i="5" s="1"/>
  <c r="B125" i="8" s="1"/>
  <c r="C150" i="5"/>
  <c r="C152" i="5" s="1"/>
  <c r="C155" i="5" s="1"/>
  <c r="W243" i="5"/>
  <c r="W314" i="5"/>
  <c r="W22" i="9"/>
  <c r="W44" i="9" s="1"/>
  <c r="W118" i="8"/>
  <c r="W180" i="5"/>
  <c r="AE243" i="5"/>
  <c r="AE314" i="5"/>
  <c r="AE180" i="5"/>
  <c r="AE22" i="9"/>
  <c r="AE44" i="9" s="1"/>
  <c r="AE118" i="8"/>
  <c r="K243" i="5"/>
  <c r="K314" i="5"/>
  <c r="K22" i="9"/>
  <c r="K44" i="9" s="1"/>
  <c r="K180" i="5"/>
  <c r="K118" i="8"/>
  <c r="AG243" i="5"/>
  <c r="AG314" i="5"/>
  <c r="AG22" i="9"/>
  <c r="AG44" i="9" s="1"/>
  <c r="AG118" i="8"/>
  <c r="AG180" i="5"/>
  <c r="Q243" i="5"/>
  <c r="Q22" i="9"/>
  <c r="Q44" i="9" s="1"/>
  <c r="Q314" i="5"/>
  <c r="Q180" i="5"/>
  <c r="Q118" i="8"/>
  <c r="C158" i="5"/>
  <c r="D158" i="5" s="1"/>
  <c r="E158" i="5" s="1"/>
  <c r="F158" i="5" s="1"/>
  <c r="G158" i="5" s="1"/>
  <c r="H158" i="5" s="1"/>
  <c r="I158" i="5" s="1"/>
  <c r="J158" i="5" s="1"/>
  <c r="K158" i="5" s="1"/>
  <c r="L158" i="5" s="1"/>
  <c r="M158" i="5" s="1"/>
  <c r="N158" i="5" s="1"/>
  <c r="O158" i="5" s="1"/>
  <c r="P158" i="5" s="1"/>
  <c r="Q158" i="5" s="1"/>
  <c r="R158" i="5" s="1"/>
  <c r="S158" i="5" s="1"/>
  <c r="T158" i="5" s="1"/>
  <c r="U158" i="5" s="1"/>
  <c r="V158" i="5" s="1"/>
  <c r="W158" i="5" s="1"/>
  <c r="X158" i="5" s="1"/>
  <c r="Y158" i="5" s="1"/>
  <c r="Z158" i="5" s="1"/>
  <c r="AA158" i="5" s="1"/>
  <c r="AB158" i="5" s="1"/>
  <c r="AC158" i="5" s="1"/>
  <c r="AD158" i="5" s="1"/>
  <c r="AE158" i="5" s="1"/>
  <c r="AF158" i="5" s="1"/>
  <c r="AG158" i="5" s="1"/>
  <c r="AH158" i="5" s="1"/>
  <c r="B230" i="1"/>
  <c r="C230" i="1"/>
  <c r="D230" i="1"/>
  <c r="E230" i="1"/>
  <c r="B110" i="5"/>
  <c r="E25" i="5"/>
  <c r="D25" i="8"/>
  <c r="D31" i="8"/>
  <c r="D59" i="5"/>
  <c r="D60" i="5" s="1"/>
  <c r="E58" i="5" s="1"/>
  <c r="H75" i="2"/>
  <c r="H76" i="2"/>
  <c r="D84" i="5"/>
  <c r="D85" i="5" s="1"/>
  <c r="C298" i="5"/>
  <c r="E14" i="3"/>
  <c r="F68" i="1"/>
  <c r="H71" i="2"/>
  <c r="B19" i="4"/>
  <c r="C15" i="4"/>
  <c r="B109" i="1"/>
  <c r="B11" i="11"/>
  <c r="C12" i="2"/>
  <c r="B139" i="8"/>
  <c r="B142" i="8" s="1"/>
  <c r="B57" i="8"/>
  <c r="X16" i="9"/>
  <c r="X37" i="9"/>
  <c r="X38" i="9" s="1"/>
  <c r="E12" i="3"/>
  <c r="H69" i="2"/>
  <c r="G8" i="12"/>
  <c r="H8" i="12"/>
  <c r="B167" i="8"/>
  <c r="C146" i="5"/>
  <c r="C147" i="5" s="1"/>
  <c r="C153" i="5"/>
  <c r="C154" i="5" s="1"/>
  <c r="AC243" i="5"/>
  <c r="AC314" i="5"/>
  <c r="AC22" i="9"/>
  <c r="AC44" i="9" s="1"/>
  <c r="AC180" i="5"/>
  <c r="AC118" i="8"/>
  <c r="Y243" i="5"/>
  <c r="Y180" i="5"/>
  <c r="Y22" i="9"/>
  <c r="Y44" i="9" s="1"/>
  <c r="Y314" i="5"/>
  <c r="Y118" i="8"/>
  <c r="M243" i="5"/>
  <c r="M22" i="9"/>
  <c r="M44" i="9" s="1"/>
  <c r="M180" i="5"/>
  <c r="M314" i="5"/>
  <c r="M118" i="8"/>
  <c r="O243" i="5"/>
  <c r="O314" i="5"/>
  <c r="O22" i="9"/>
  <c r="O44" i="9" s="1"/>
  <c r="O180" i="5"/>
  <c r="O118" i="8"/>
  <c r="D193" i="1"/>
  <c r="E192" i="1"/>
  <c r="F53" i="8"/>
  <c r="F98" i="1"/>
  <c r="G9" i="2"/>
  <c r="E122" i="8"/>
  <c r="H21" i="5"/>
  <c r="I21" i="5" s="1"/>
  <c r="F41" i="5"/>
  <c r="E82" i="5"/>
  <c r="E45" i="5"/>
  <c r="F43" i="5" s="1"/>
  <c r="F44" i="5" s="1"/>
  <c r="J53" i="2"/>
  <c r="I30" i="8"/>
  <c r="I170" i="1"/>
  <c r="D12" i="5"/>
  <c r="D23" i="5"/>
  <c r="E23" i="5" s="1"/>
  <c r="C18" i="5"/>
  <c r="E75" i="1"/>
  <c r="D112" i="5" s="1"/>
  <c r="E74" i="1"/>
  <c r="G26" i="2"/>
  <c r="G161" i="5"/>
  <c r="C108" i="1"/>
  <c r="B120" i="1"/>
  <c r="D11" i="2"/>
  <c r="B121" i="1"/>
  <c r="C57" i="8"/>
  <c r="B171" i="8"/>
  <c r="B177" i="8" s="1"/>
  <c r="B114" i="8"/>
  <c r="B95" i="8"/>
  <c r="B96" i="8" s="1"/>
  <c r="B177" i="5" s="1"/>
  <c r="B181" i="5" s="1"/>
  <c r="B285" i="5"/>
  <c r="B283" i="5" s="1"/>
  <c r="B276" i="5" s="1"/>
  <c r="B32" i="8"/>
  <c r="BH20" i="4"/>
  <c r="BI20" i="4" s="1"/>
  <c r="BJ20" i="4" s="1"/>
  <c r="BK20" i="4" s="1"/>
  <c r="BL20" i="4" s="1"/>
  <c r="BM20" i="4" s="1"/>
  <c r="BN20" i="4" s="1"/>
  <c r="BO20" i="4" s="1"/>
  <c r="BP20" i="4" s="1"/>
  <c r="BQ20" i="4" s="1"/>
  <c r="BR20" i="4" s="1"/>
  <c r="BS20" i="4" s="1"/>
  <c r="BT20" i="4" s="1"/>
  <c r="U20" i="4"/>
  <c r="V20" i="4" s="1"/>
  <c r="W20" i="4" s="1"/>
  <c r="X20" i="4" s="1"/>
  <c r="Y20" i="4" s="1"/>
  <c r="Z20" i="4" s="1"/>
  <c r="AA20" i="4" s="1"/>
  <c r="AB20" i="4" s="1"/>
  <c r="AC20" i="4" s="1"/>
  <c r="AD20" i="4" s="1"/>
  <c r="AE20" i="4" s="1"/>
  <c r="AF20" i="4" s="1"/>
  <c r="T20" i="4"/>
  <c r="G10" i="5"/>
  <c r="H10" i="5" s="1"/>
  <c r="D17" i="5"/>
  <c r="D28" i="5"/>
  <c r="E28" i="5" s="1"/>
  <c r="D16" i="5"/>
  <c r="E16" i="5" s="1"/>
  <c r="D27" i="5"/>
  <c r="AA19" i="9"/>
  <c r="K19" i="9"/>
  <c r="G105" i="5"/>
  <c r="G106" i="5" s="1"/>
  <c r="I105" i="5"/>
  <c r="I106" i="5" s="1"/>
  <c r="D52" i="8"/>
  <c r="E8" i="2"/>
  <c r="C121" i="8"/>
  <c r="D97" i="1"/>
  <c r="Z16" i="9"/>
  <c r="Z37" i="9"/>
  <c r="Z38" i="9" s="1"/>
  <c r="E29" i="2"/>
  <c r="B111" i="5"/>
  <c r="AH314" i="5"/>
  <c r="AH243" i="5"/>
  <c r="AH22" i="9"/>
  <c r="AH44" i="9" s="1"/>
  <c r="AH180" i="5"/>
  <c r="AH118" i="8"/>
  <c r="AF243" i="5"/>
  <c r="AF180" i="5"/>
  <c r="AF22" i="9"/>
  <c r="AF44" i="9" s="1"/>
  <c r="AF314" i="5"/>
  <c r="AF118" i="8"/>
  <c r="I243" i="5"/>
  <c r="I314" i="5"/>
  <c r="I180" i="5"/>
  <c r="I22" i="9"/>
  <c r="I44" i="9" s="1"/>
  <c r="I118" i="8"/>
  <c r="P243" i="5"/>
  <c r="P314" i="5"/>
  <c r="P118" i="8"/>
  <c r="P180" i="5"/>
  <c r="P22" i="9"/>
  <c r="P44" i="9" s="1"/>
  <c r="Z243" i="5"/>
  <c r="Z314" i="5"/>
  <c r="Z180" i="5"/>
  <c r="Z22" i="9"/>
  <c r="Z44" i="9" s="1"/>
  <c r="Z118" i="8"/>
  <c r="G243" i="5"/>
  <c r="G314" i="5"/>
  <c r="G180" i="5"/>
  <c r="G22" i="9"/>
  <c r="G44" i="9" s="1"/>
  <c r="G118" i="8"/>
  <c r="S243" i="5"/>
  <c r="S22" i="9"/>
  <c r="S44" i="9" s="1"/>
  <c r="S314" i="5"/>
  <c r="S180" i="5"/>
  <c r="S118" i="8"/>
  <c r="C66" i="15"/>
  <c r="C52" i="15"/>
  <c r="B107" i="5"/>
  <c r="B108" i="5" s="1"/>
  <c r="D259" i="5"/>
  <c r="D257" i="5"/>
  <c r="D19" i="12"/>
  <c r="D20" i="12" s="1"/>
  <c r="F183" i="1"/>
  <c r="F90" i="8"/>
  <c r="B299" i="5"/>
  <c r="C90" i="5"/>
  <c r="C91" i="5" s="1"/>
  <c r="E20" i="5"/>
  <c r="D50" i="8"/>
  <c r="E14" i="5"/>
  <c r="F14" i="5" s="1"/>
  <c r="D92" i="8"/>
  <c r="F194" i="1"/>
  <c r="F94" i="8"/>
  <c r="F176" i="8" s="1"/>
  <c r="F56" i="5"/>
  <c r="B19" i="12"/>
  <c r="B20" i="12" s="1"/>
  <c r="W19" i="9"/>
  <c r="D146" i="5"/>
  <c r="D147" i="5" s="1"/>
  <c r="D153" i="5"/>
  <c r="D154" i="5" s="1"/>
  <c r="D155" i="5" s="1"/>
  <c r="AB243" i="5"/>
  <c r="AB314" i="5"/>
  <c r="AB22" i="9"/>
  <c r="AB44" i="9" s="1"/>
  <c r="AB180" i="5"/>
  <c r="AB118" i="8"/>
  <c r="X243" i="5"/>
  <c r="X314" i="5"/>
  <c r="X180" i="5"/>
  <c r="X118" i="8"/>
  <c r="X22" i="9"/>
  <c r="X44" i="9" s="1"/>
  <c r="B33" i="11"/>
  <c r="C7" i="9"/>
  <c r="D7" i="9" s="1"/>
  <c r="E7" i="9" s="1"/>
  <c r="F7" i="9" s="1"/>
  <c r="G7" i="9" s="1"/>
  <c r="H7" i="9" s="1"/>
  <c r="I7" i="9" s="1"/>
  <c r="J7" i="9" s="1"/>
  <c r="K7" i="9" s="1"/>
  <c r="L7" i="9" s="1"/>
  <c r="M7" i="9" s="1"/>
  <c r="N7" i="9" s="1"/>
  <c r="O7" i="9" s="1"/>
  <c r="P7" i="9" s="1"/>
  <c r="Q7" i="9" s="1"/>
  <c r="R7" i="9" s="1"/>
  <c r="S7" i="9" s="1"/>
  <c r="T7" i="9" s="1"/>
  <c r="U7" i="9" s="1"/>
  <c r="V7" i="9" s="1"/>
  <c r="W7" i="9" s="1"/>
  <c r="X7" i="9" s="1"/>
  <c r="Y7" i="9" s="1"/>
  <c r="Z7" i="9" s="1"/>
  <c r="AA7" i="9" s="1"/>
  <c r="AB7" i="9" s="1"/>
  <c r="AC7" i="9" s="1"/>
  <c r="AD7" i="9" s="1"/>
  <c r="AE7" i="9" s="1"/>
  <c r="AF7" i="9" s="1"/>
  <c r="AG7" i="9" s="1"/>
  <c r="AH7" i="9" s="1"/>
  <c r="B29" i="9"/>
  <c r="C29" i="9" s="1"/>
  <c r="D29" i="9" s="1"/>
  <c r="E29" i="9" s="1"/>
  <c r="F29" i="9" s="1"/>
  <c r="G29" i="9" s="1"/>
  <c r="H29" i="9" s="1"/>
  <c r="I29" i="9" s="1"/>
  <c r="J29" i="9" s="1"/>
  <c r="K29" i="9" s="1"/>
  <c r="L29" i="9" s="1"/>
  <c r="M29" i="9" s="1"/>
  <c r="N29" i="9" s="1"/>
  <c r="O29" i="9" s="1"/>
  <c r="P29" i="9" s="1"/>
  <c r="Q29" i="9" s="1"/>
  <c r="R29" i="9" s="1"/>
  <c r="S29" i="9" s="1"/>
  <c r="T29" i="9" s="1"/>
  <c r="U29" i="9" s="1"/>
  <c r="V29" i="9" s="1"/>
  <c r="W29" i="9" s="1"/>
  <c r="X29" i="9" s="1"/>
  <c r="Y29" i="9" s="1"/>
  <c r="Z29" i="9" s="1"/>
  <c r="AA29" i="9" s="1"/>
  <c r="AB29" i="9" s="1"/>
  <c r="AC29" i="9" s="1"/>
  <c r="AD29" i="9" s="1"/>
  <c r="AE29" i="9" s="1"/>
  <c r="AF29" i="9" s="1"/>
  <c r="AG29" i="9" s="1"/>
  <c r="AH29" i="9" s="1"/>
  <c r="D10" i="15"/>
  <c r="D24" i="15" s="1"/>
  <c r="D38" i="15" s="1"/>
  <c r="D13" i="13"/>
  <c r="D38" i="13" s="1"/>
  <c r="D63" i="13" s="1"/>
  <c r="D88" i="13" s="1"/>
  <c r="C53" i="5"/>
  <c r="C5" i="12"/>
  <c r="D6" i="5"/>
  <c r="B112" i="5"/>
  <c r="F6" i="8"/>
  <c r="E70" i="8"/>
  <c r="E68" i="5"/>
  <c r="C88" i="5"/>
  <c r="B297" i="5"/>
  <c r="B296" i="5" s="1"/>
  <c r="AH23" i="4"/>
  <c r="AI23" i="4" s="1"/>
  <c r="AJ23" i="4" s="1"/>
  <c r="AK23" i="4" s="1"/>
  <c r="AL23" i="4" s="1"/>
  <c r="AM23" i="4" s="1"/>
  <c r="AN23" i="4" s="1"/>
  <c r="AO23" i="4" s="1"/>
  <c r="AP23" i="4" s="1"/>
  <c r="AQ23" i="4" s="1"/>
  <c r="AR23" i="4" s="1"/>
  <c r="AS23" i="4" s="1"/>
  <c r="AG23" i="4"/>
  <c r="BU23" i="4"/>
  <c r="BV23" i="4" s="1"/>
  <c r="BW23" i="4" s="1"/>
  <c r="BX23" i="4" s="1"/>
  <c r="BY23" i="4" s="1"/>
  <c r="BZ23" i="4" s="1"/>
  <c r="CA23" i="4" s="1"/>
  <c r="CB23" i="4" s="1"/>
  <c r="CC23" i="4" s="1"/>
  <c r="CD23" i="4" s="1"/>
  <c r="CE23" i="4" s="1"/>
  <c r="CF23" i="4" s="1"/>
  <c r="CG23" i="4" s="1"/>
  <c r="F22" i="5"/>
  <c r="G22" i="5" s="1"/>
  <c r="S19" i="9"/>
  <c r="E88" i="5"/>
  <c r="E51" i="5"/>
  <c r="F49" i="5" s="1"/>
  <c r="F50" i="5" s="1"/>
  <c r="F47" i="5"/>
  <c r="T192" i="5"/>
  <c r="T15" i="9"/>
  <c r="T178" i="5"/>
  <c r="E14" i="2"/>
  <c r="D59" i="8"/>
  <c r="D112" i="1"/>
  <c r="D141" i="8"/>
  <c r="N243" i="5"/>
  <c r="N314" i="5"/>
  <c r="N180" i="5"/>
  <c r="N22" i="9"/>
  <c r="N44" i="9" s="1"/>
  <c r="N118" i="8"/>
  <c r="U243" i="5"/>
  <c r="U22" i="9"/>
  <c r="U44" i="9" s="1"/>
  <c r="U180" i="5"/>
  <c r="U314" i="5"/>
  <c r="U118" i="8"/>
  <c r="F243" i="5"/>
  <c r="F180" i="5"/>
  <c r="F314" i="5"/>
  <c r="F22" i="9"/>
  <c r="F44" i="9" s="1"/>
  <c r="F118" i="8"/>
  <c r="AA243" i="5"/>
  <c r="AA22" i="9"/>
  <c r="AA44" i="9" s="1"/>
  <c r="AA314" i="5"/>
  <c r="AA118" i="8"/>
  <c r="AA180" i="5"/>
  <c r="B54" i="8"/>
  <c r="B64" i="8"/>
  <c r="B36" i="8"/>
  <c r="D6" i="11"/>
  <c r="C7" i="11"/>
  <c r="C18" i="4"/>
  <c r="AH5" i="4"/>
  <c r="AG5" i="4"/>
  <c r="E28" i="8"/>
  <c r="E29" i="8" s="1"/>
  <c r="F51" i="2"/>
  <c r="D169" i="1"/>
  <c r="F52" i="2" s="1"/>
  <c r="E168" i="1"/>
  <c r="J140" i="8"/>
  <c r="D180" i="5"/>
  <c r="D118" i="8"/>
  <c r="D22" i="9"/>
  <c r="D44" i="9" s="1"/>
  <c r="D314" i="5"/>
  <c r="D243" i="5"/>
  <c r="D88" i="8"/>
  <c r="D181" i="1"/>
  <c r="C182" i="1"/>
  <c r="D15" i="5"/>
  <c r="D18" i="5" s="1"/>
  <c r="D26" i="5"/>
  <c r="E26" i="5" s="1"/>
  <c r="AE19" i="9"/>
  <c r="O19" i="9"/>
  <c r="C100" i="5"/>
  <c r="C106" i="5" s="1"/>
  <c r="B115" i="5" s="1"/>
  <c r="C35" i="5"/>
  <c r="E243" i="5"/>
  <c r="E314" i="5"/>
  <c r="E311" i="5" s="1"/>
  <c r="F311" i="5" s="1"/>
  <c r="G311" i="5" s="1"/>
  <c r="H311" i="5" s="1"/>
  <c r="I311" i="5" s="1"/>
  <c r="J311" i="5" s="1"/>
  <c r="K311" i="5" s="1"/>
  <c r="L311" i="5" s="1"/>
  <c r="M311" i="5" s="1"/>
  <c r="N311" i="5" s="1"/>
  <c r="O311" i="5" s="1"/>
  <c r="P311" i="5" s="1"/>
  <c r="Q311" i="5" s="1"/>
  <c r="R311" i="5" s="1"/>
  <c r="S311" i="5" s="1"/>
  <c r="T311" i="5" s="1"/>
  <c r="U311" i="5" s="1"/>
  <c r="V311" i="5" s="1"/>
  <c r="W311" i="5" s="1"/>
  <c r="X311" i="5" s="1"/>
  <c r="Y311" i="5" s="1"/>
  <c r="Z311" i="5" s="1"/>
  <c r="AA311" i="5" s="1"/>
  <c r="AB311" i="5" s="1"/>
  <c r="AC311" i="5" s="1"/>
  <c r="AD311" i="5" s="1"/>
  <c r="AE311" i="5" s="1"/>
  <c r="AF311" i="5" s="1"/>
  <c r="AG311" i="5" s="1"/>
  <c r="AH311" i="5" s="1"/>
  <c r="E22" i="9"/>
  <c r="E44" i="9" s="1"/>
  <c r="E180" i="5"/>
  <c r="E118" i="8"/>
  <c r="R243" i="5"/>
  <c r="R180" i="5"/>
  <c r="R22" i="9"/>
  <c r="R44" i="9" s="1"/>
  <c r="R314" i="5"/>
  <c r="R118" i="8"/>
  <c r="J243" i="5"/>
  <c r="J314" i="5"/>
  <c r="J180" i="5"/>
  <c r="J22" i="9"/>
  <c r="J44" i="9" s="1"/>
  <c r="J118" i="8"/>
  <c r="T243" i="5"/>
  <c r="T180" i="5"/>
  <c r="T314" i="5"/>
  <c r="T22" i="9"/>
  <c r="T44" i="9" s="1"/>
  <c r="T118" i="8"/>
  <c r="AD314" i="5"/>
  <c r="AD243" i="5"/>
  <c r="AD22" i="9"/>
  <c r="AD44" i="9" s="1"/>
  <c r="AD180" i="5"/>
  <c r="AD118" i="8"/>
  <c r="L243" i="5"/>
  <c r="L22" i="9"/>
  <c r="L44" i="9" s="1"/>
  <c r="L314" i="5"/>
  <c r="L118" i="8"/>
  <c r="L180" i="5"/>
  <c r="V243" i="5"/>
  <c r="V22" i="9"/>
  <c r="V44" i="9" s="1"/>
  <c r="V314" i="5"/>
  <c r="V180" i="5"/>
  <c r="V118" i="8"/>
  <c r="H243" i="5"/>
  <c r="H314" i="5"/>
  <c r="H22" i="9"/>
  <c r="H44" i="9" s="1"/>
  <c r="H180" i="5"/>
  <c r="H118" i="8"/>
  <c r="B103" i="1"/>
  <c r="C8" i="11"/>
  <c r="C51" i="8"/>
  <c r="B104" i="1"/>
  <c r="D7" i="2"/>
  <c r="B96" i="1"/>
  <c r="B99" i="1" s="1"/>
  <c r="C95" i="1"/>
  <c r="C31" i="5"/>
  <c r="B74" i="5"/>
  <c r="CV19" i="4"/>
  <c r="CW16" i="4" s="1"/>
  <c r="J58" i="8"/>
  <c r="E286" i="5"/>
  <c r="E172" i="8"/>
  <c r="C285" i="5"/>
  <c r="C283" i="5" s="1"/>
  <c r="C171" i="8"/>
  <c r="C177" i="8" s="1"/>
  <c r="C70" i="5"/>
  <c r="E9" i="5"/>
  <c r="C134" i="8"/>
  <c r="E24" i="8"/>
  <c r="F40" i="2"/>
  <c r="E157" i="1"/>
  <c r="D158" i="1"/>
  <c r="F41" i="2" s="1"/>
  <c r="M66" i="5"/>
  <c r="N64" i="5" s="1"/>
  <c r="N65" i="5" s="1"/>
  <c r="N62" i="5"/>
  <c r="D86" i="5"/>
  <c r="K3" i="2"/>
  <c r="K60" i="2"/>
  <c r="L2" i="2"/>
  <c r="K4" i="2"/>
  <c r="K74" i="2"/>
  <c r="F26" i="8"/>
  <c r="G42" i="2"/>
  <c r="F159" i="1"/>
  <c r="B118" i="8" l="1"/>
  <c r="B144" i="8"/>
  <c r="C117" i="8"/>
  <c r="B117" i="8"/>
  <c r="D59" i="7"/>
  <c r="C9" i="7"/>
  <c r="C71" i="5"/>
  <c r="C72" i="5" s="1"/>
  <c r="D70" i="5" s="1"/>
  <c r="C135" i="8"/>
  <c r="C54" i="8"/>
  <c r="C64" i="8" s="1"/>
  <c r="C120" i="8"/>
  <c r="C123" i="8" s="1"/>
  <c r="F14" i="2"/>
  <c r="E112" i="1"/>
  <c r="E59" i="8"/>
  <c r="E141" i="8"/>
  <c r="G183" i="1"/>
  <c r="G90" i="8"/>
  <c r="BU20" i="4"/>
  <c r="BV20" i="4" s="1"/>
  <c r="BW20" i="4" s="1"/>
  <c r="BX20" i="4" s="1"/>
  <c r="BY20" i="4" s="1"/>
  <c r="BZ20" i="4" s="1"/>
  <c r="CA20" i="4" s="1"/>
  <c r="CB20" i="4" s="1"/>
  <c r="CC20" i="4" s="1"/>
  <c r="CD20" i="4" s="1"/>
  <c r="CE20" i="4" s="1"/>
  <c r="CF20" i="4" s="1"/>
  <c r="CG20" i="4" s="1"/>
  <c r="AG20" i="4"/>
  <c r="AH20" i="4" s="1"/>
  <c r="AI20" i="4" s="1"/>
  <c r="AJ20" i="4" s="1"/>
  <c r="AK20" i="4" s="1"/>
  <c r="AL20" i="4" s="1"/>
  <c r="AM20" i="4" s="1"/>
  <c r="AN20" i="4" s="1"/>
  <c r="AO20" i="4" s="1"/>
  <c r="AP20" i="4" s="1"/>
  <c r="AQ20" i="4" s="1"/>
  <c r="AR20" i="4" s="1"/>
  <c r="AS20" i="4" s="1"/>
  <c r="C121" i="1"/>
  <c r="E11" i="2"/>
  <c r="D108" i="1"/>
  <c r="C120" i="1"/>
  <c r="F45" i="5"/>
  <c r="G43" i="5" s="1"/>
  <c r="G44" i="5" s="1"/>
  <c r="G41" i="5"/>
  <c r="F82" i="5"/>
  <c r="B67" i="8"/>
  <c r="B41" i="8"/>
  <c r="B60" i="8"/>
  <c r="B119" i="1"/>
  <c r="B117" i="1"/>
  <c r="D12" i="2"/>
  <c r="B118" i="1"/>
  <c r="C11" i="11"/>
  <c r="B110" i="1"/>
  <c r="C109" i="1"/>
  <c r="E134" i="8"/>
  <c r="F25" i="5"/>
  <c r="C178" i="5"/>
  <c r="C15" i="9"/>
  <c r="C192" i="5"/>
  <c r="K8" i="2"/>
  <c r="K9" i="2"/>
  <c r="C33" i="11"/>
  <c r="D52" i="15"/>
  <c r="D66" i="15"/>
  <c r="W41" i="9"/>
  <c r="G94" i="8"/>
  <c r="G176" i="8" s="1"/>
  <c r="G194" i="1"/>
  <c r="E17" i="5"/>
  <c r="F17" i="5" s="1"/>
  <c r="F23" i="5"/>
  <c r="G23" i="5" s="1"/>
  <c r="C19" i="4"/>
  <c r="F14" i="3"/>
  <c r="G68" i="1"/>
  <c r="I71" i="2"/>
  <c r="I76" i="2"/>
  <c r="I75" i="2"/>
  <c r="H19" i="9"/>
  <c r="B37" i="9"/>
  <c r="B38" i="9" s="1"/>
  <c r="B16" i="9"/>
  <c r="G159" i="1"/>
  <c r="H42" i="2"/>
  <c r="G26" i="8"/>
  <c r="E84" i="5"/>
  <c r="E85" i="5" s="1"/>
  <c r="D298" i="5"/>
  <c r="F157" i="1"/>
  <c r="E158" i="1"/>
  <c r="G41" i="2" s="1"/>
  <c r="G40" i="2"/>
  <c r="K58" i="8"/>
  <c r="B124" i="5"/>
  <c r="B94" i="5"/>
  <c r="B178" i="1"/>
  <c r="B175" i="1"/>
  <c r="B176" i="1"/>
  <c r="B177" i="1"/>
  <c r="B179" i="1"/>
  <c r="AU5" i="4"/>
  <c r="AT5" i="4"/>
  <c r="C32" i="11"/>
  <c r="C18" i="11"/>
  <c r="F51" i="5"/>
  <c r="F88" i="5"/>
  <c r="G47" i="5"/>
  <c r="D178" i="5"/>
  <c r="D192" i="5"/>
  <c r="D15" i="9"/>
  <c r="G11" i="5"/>
  <c r="H11" i="5" s="1"/>
  <c r="D174" i="8"/>
  <c r="D93" i="8"/>
  <c r="D175" i="8" s="1"/>
  <c r="D115" i="8"/>
  <c r="K41" i="9"/>
  <c r="E27" i="5"/>
  <c r="F27" i="5" s="1"/>
  <c r="I10" i="5"/>
  <c r="J10" i="5" s="1"/>
  <c r="G29" i="2"/>
  <c r="D107" i="5"/>
  <c r="D108" i="5" s="1"/>
  <c r="E12" i="5"/>
  <c r="F12" i="5" s="1"/>
  <c r="E193" i="1"/>
  <c r="F192" i="1"/>
  <c r="C17" i="4"/>
  <c r="C16" i="4"/>
  <c r="D56" i="8"/>
  <c r="E25" i="8"/>
  <c r="E31" i="8"/>
  <c r="CW18" i="4"/>
  <c r="CW17" i="4"/>
  <c r="C96" i="1"/>
  <c r="C103" i="1"/>
  <c r="D8" i="11"/>
  <c r="D51" i="8"/>
  <c r="E7" i="2"/>
  <c r="C104" i="1"/>
  <c r="D95" i="1"/>
  <c r="C19" i="12"/>
  <c r="C108" i="5"/>
  <c r="O41" i="9"/>
  <c r="D170" i="8"/>
  <c r="D89" i="8"/>
  <c r="D284" i="5"/>
  <c r="D95" i="8"/>
  <c r="K140" i="8"/>
  <c r="B100" i="8"/>
  <c r="T16" i="9"/>
  <c r="T37" i="9"/>
  <c r="T38" i="9" s="1"/>
  <c r="F68" i="5"/>
  <c r="E259" i="5"/>
  <c r="E257" i="5"/>
  <c r="E97" i="1"/>
  <c r="F8" i="2"/>
  <c r="D121" i="8"/>
  <c r="E52" i="8"/>
  <c r="F28" i="5"/>
  <c r="G28" i="5" s="1"/>
  <c r="C60" i="8"/>
  <c r="C67" i="8" s="1"/>
  <c r="G98" i="1"/>
  <c r="H9" i="2"/>
  <c r="G53" i="8"/>
  <c r="F122" i="8"/>
  <c r="F12" i="3"/>
  <c r="F92" i="8" s="1"/>
  <c r="I69" i="2"/>
  <c r="H26" i="2"/>
  <c r="F74" i="1"/>
  <c r="E15" i="5"/>
  <c r="F15" i="5" s="1"/>
  <c r="F168" i="1"/>
  <c r="E169" i="1"/>
  <c r="G52" i="2" s="1"/>
  <c r="G51" i="2"/>
  <c r="F28" i="8"/>
  <c r="F29" i="8" s="1"/>
  <c r="B129" i="8"/>
  <c r="B9" i="11" s="1"/>
  <c r="B38" i="8"/>
  <c r="B102" i="8" s="1"/>
  <c r="B269" i="5" s="1"/>
  <c r="B37" i="8"/>
  <c r="B101" i="8" s="1"/>
  <c r="B268" i="5" s="1"/>
  <c r="E10" i="15"/>
  <c r="E24" i="15" s="1"/>
  <c r="E38" i="15" s="1"/>
  <c r="E13" i="13"/>
  <c r="E38" i="13" s="1"/>
  <c r="E63" i="13" s="1"/>
  <c r="E88" i="13" s="1"/>
  <c r="D53" i="5"/>
  <c r="D5" i="12"/>
  <c r="E6" i="5"/>
  <c r="AA41" i="9"/>
  <c r="L74" i="2"/>
  <c r="L4" i="2"/>
  <c r="L3" i="2"/>
  <c r="M2" i="2"/>
  <c r="L60" i="2"/>
  <c r="N66" i="5"/>
  <c r="O64" i="5" s="1"/>
  <c r="O65" i="5" s="1"/>
  <c r="O62" i="5"/>
  <c r="F9" i="5"/>
  <c r="E18" i="5"/>
  <c r="CW15" i="4"/>
  <c r="CW19" i="4" s="1"/>
  <c r="C74" i="5"/>
  <c r="D31" i="5"/>
  <c r="B154" i="1"/>
  <c r="B151" i="1"/>
  <c r="B153" i="1"/>
  <c r="B155" i="1"/>
  <c r="B152" i="1"/>
  <c r="C76" i="5"/>
  <c r="D35" i="5"/>
  <c r="AE41" i="9"/>
  <c r="E88" i="8"/>
  <c r="E181" i="1"/>
  <c r="D182" i="1"/>
  <c r="B129" i="5"/>
  <c r="D7" i="11"/>
  <c r="E6" i="11"/>
  <c r="S41" i="9"/>
  <c r="AT23" i="4"/>
  <c r="CV23" i="4" s="1"/>
  <c r="CH23" i="4"/>
  <c r="CI23" i="4" s="1"/>
  <c r="CJ23" i="4" s="1"/>
  <c r="CK23" i="4" s="1"/>
  <c r="CL23" i="4" s="1"/>
  <c r="CM23" i="4" s="1"/>
  <c r="CN23" i="4" s="1"/>
  <c r="CO23" i="4" s="1"/>
  <c r="CP23" i="4" s="1"/>
  <c r="CQ23" i="4" s="1"/>
  <c r="CR23" i="4" s="1"/>
  <c r="CS23" i="4" s="1"/>
  <c r="CT23" i="4" s="1"/>
  <c r="C92" i="5"/>
  <c r="F70" i="8"/>
  <c r="G6" i="8"/>
  <c r="B116" i="5"/>
  <c r="D10" i="7" s="1"/>
  <c r="G56" i="5"/>
  <c r="C37" i="5"/>
  <c r="E50" i="8"/>
  <c r="E115" i="8"/>
  <c r="F20" i="5"/>
  <c r="F172" i="8"/>
  <c r="F286" i="5"/>
  <c r="D136" i="8"/>
  <c r="D242" i="5"/>
  <c r="D179" i="5"/>
  <c r="D288" i="5"/>
  <c r="D117" i="8"/>
  <c r="D256" i="5"/>
  <c r="C11" i="10" s="1"/>
  <c r="C12" i="10" s="1"/>
  <c r="C14" i="10" s="1"/>
  <c r="F16" i="5"/>
  <c r="G16" i="5" s="1"/>
  <c r="G19" i="9"/>
  <c r="K53" i="2"/>
  <c r="J30" i="8"/>
  <c r="J170" i="1"/>
  <c r="E86" i="5"/>
  <c r="E92" i="8"/>
  <c r="B178" i="8"/>
  <c r="B13" i="11"/>
  <c r="B36" i="11"/>
  <c r="E59" i="5"/>
  <c r="E60" i="5" s="1"/>
  <c r="F58" i="5" s="1"/>
  <c r="D134" i="8"/>
  <c r="B118" i="5"/>
  <c r="D12" i="7" s="1"/>
  <c r="B161" i="5"/>
  <c r="B117" i="5"/>
  <c r="C11" i="7" s="1"/>
  <c r="B29" i="7" s="1"/>
  <c r="C162" i="5"/>
  <c r="C19" i="9"/>
  <c r="C163" i="5"/>
  <c r="C244" i="5" s="1"/>
  <c r="I41" i="9"/>
  <c r="C42" i="8" l="1"/>
  <c r="C43" i="8"/>
  <c r="C41" i="8"/>
  <c r="C129" i="8"/>
  <c r="C9" i="11" s="1"/>
  <c r="C38" i="8"/>
  <c r="C37" i="8"/>
  <c r="C36" i="8"/>
  <c r="F174" i="8"/>
  <c r="F93" i="8"/>
  <c r="F175" i="8" s="1"/>
  <c r="D35" i="2"/>
  <c r="C10" i="8"/>
  <c r="H29" i="2"/>
  <c r="G107" i="5"/>
  <c r="G108" i="5" s="1"/>
  <c r="B39" i="8"/>
  <c r="D103" i="1"/>
  <c r="E8" i="11"/>
  <c r="D104" i="1"/>
  <c r="F7" i="2"/>
  <c r="E51" i="8"/>
  <c r="E95" i="1"/>
  <c r="D96" i="1"/>
  <c r="C77" i="8"/>
  <c r="F24" i="8"/>
  <c r="G17" i="5"/>
  <c r="H17" i="5" s="1"/>
  <c r="C119" i="1"/>
  <c r="D109" i="1"/>
  <c r="D11" i="11"/>
  <c r="C110" i="1"/>
  <c r="E12" i="2"/>
  <c r="C117" i="1"/>
  <c r="C118" i="1"/>
  <c r="G286" i="5"/>
  <c r="G172" i="8"/>
  <c r="G14" i="2"/>
  <c r="F112" i="1"/>
  <c r="F59" i="8"/>
  <c r="F141" i="8"/>
  <c r="F59" i="5"/>
  <c r="F60" i="5" s="1"/>
  <c r="G58" i="5" s="1"/>
  <c r="H6" i="8"/>
  <c r="G70" i="8"/>
  <c r="F6" i="11"/>
  <c r="E7" i="11"/>
  <c r="C13" i="8"/>
  <c r="C155" i="1"/>
  <c r="D38" i="2"/>
  <c r="E31" i="5"/>
  <c r="D74" i="5"/>
  <c r="M74" i="2"/>
  <c r="M4" i="2"/>
  <c r="N2" i="2"/>
  <c r="M60" i="2"/>
  <c r="M3" i="2"/>
  <c r="F6" i="5"/>
  <c r="F13" i="13"/>
  <c r="F38" i="13" s="1"/>
  <c r="F63" i="13" s="1"/>
  <c r="F88" i="13" s="1"/>
  <c r="E5" i="12"/>
  <c r="E53" i="5"/>
  <c r="F10" i="15"/>
  <c r="F24" i="15" s="1"/>
  <c r="F38" i="15" s="1"/>
  <c r="F75" i="1"/>
  <c r="G112" i="5" s="1"/>
  <c r="G111" i="5" s="1"/>
  <c r="E242" i="5"/>
  <c r="E179" i="5"/>
  <c r="E256" i="5"/>
  <c r="D11" i="10" s="1"/>
  <c r="D12" i="10" s="1"/>
  <c r="D14" i="10" s="1"/>
  <c r="E117" i="8"/>
  <c r="E136" i="8"/>
  <c r="E288" i="5"/>
  <c r="H22" i="5"/>
  <c r="I22" i="5" s="1"/>
  <c r="B267" i="5"/>
  <c r="B103" i="8"/>
  <c r="D37" i="9"/>
  <c r="D38" i="9" s="1"/>
  <c r="D16" i="9"/>
  <c r="C75" i="8"/>
  <c r="H26" i="8"/>
  <c r="H159" i="1"/>
  <c r="I42" i="2"/>
  <c r="K7" i="2"/>
  <c r="G25" i="5"/>
  <c r="B113" i="1"/>
  <c r="B187" i="1" s="1"/>
  <c r="C139" i="8"/>
  <c r="B186" i="1"/>
  <c r="B189" i="1"/>
  <c r="B190" i="1"/>
  <c r="B42" i="8"/>
  <c r="B106" i="8" s="1"/>
  <c r="B273" i="5" s="1"/>
  <c r="B43" i="8"/>
  <c r="B107" i="8" s="1"/>
  <c r="B274" i="5" s="1"/>
  <c r="D57" i="8"/>
  <c r="H90" i="8"/>
  <c r="H183" i="1"/>
  <c r="B7" i="14"/>
  <c r="B31" i="7"/>
  <c r="C41" i="9"/>
  <c r="B163" i="5"/>
  <c r="B244" i="5" s="1"/>
  <c r="B162" i="5"/>
  <c r="B19" i="9"/>
  <c r="E174" i="8"/>
  <c r="E93" i="8"/>
  <c r="E175" i="8" s="1"/>
  <c r="F115" i="8"/>
  <c r="F50" i="8"/>
  <c r="G20" i="5"/>
  <c r="D32" i="11"/>
  <c r="D18" i="11"/>
  <c r="E170" i="8"/>
  <c r="E284" i="5"/>
  <c r="E95" i="8"/>
  <c r="E89" i="8"/>
  <c r="D76" i="5"/>
  <c r="E35" i="5"/>
  <c r="D36" i="2"/>
  <c r="C11" i="8"/>
  <c r="C94" i="5"/>
  <c r="C124" i="5"/>
  <c r="P62" i="5"/>
  <c r="O66" i="5"/>
  <c r="P64" i="5" s="1"/>
  <c r="P65" i="5" s="1"/>
  <c r="L8" i="2"/>
  <c r="L7" i="2"/>
  <c r="L9" i="2"/>
  <c r="B10" i="11"/>
  <c r="H51" i="2"/>
  <c r="G168" i="1"/>
  <c r="G28" i="8"/>
  <c r="G29" i="8" s="1"/>
  <c r="F169" i="1"/>
  <c r="H52" i="2" s="1"/>
  <c r="F259" i="5"/>
  <c r="F257" i="5"/>
  <c r="D171" i="8"/>
  <c r="D285" i="5"/>
  <c r="D283" i="5" s="1"/>
  <c r="C99" i="1"/>
  <c r="C179" i="1" s="1"/>
  <c r="D120" i="8"/>
  <c r="D123" i="8" s="1"/>
  <c r="G12" i="5"/>
  <c r="H12" i="5" s="1"/>
  <c r="G27" i="5"/>
  <c r="H27" i="5" s="1"/>
  <c r="G49" i="5"/>
  <c r="G50" i="5" s="1"/>
  <c r="G51" i="5" s="1"/>
  <c r="H49" i="5" s="1"/>
  <c r="H50" i="5" s="1"/>
  <c r="C176" i="1"/>
  <c r="C74" i="8"/>
  <c r="B12" i="12"/>
  <c r="B13" i="12" s="1"/>
  <c r="B21" i="12" s="1"/>
  <c r="B189" i="5"/>
  <c r="B190" i="5" s="1"/>
  <c r="B239" i="5"/>
  <c r="B240" i="5" s="1"/>
  <c r="H41" i="9"/>
  <c r="I26" i="2"/>
  <c r="G74" i="1"/>
  <c r="I29" i="2" s="1"/>
  <c r="J21" i="5"/>
  <c r="K21" i="5" s="1"/>
  <c r="E56" i="8"/>
  <c r="C13" i="11"/>
  <c r="C36" i="11"/>
  <c r="B166" i="1"/>
  <c r="B163" i="1"/>
  <c r="B164" i="1"/>
  <c r="B162" i="1"/>
  <c r="CH20" i="4"/>
  <c r="CI20" i="4" s="1"/>
  <c r="CJ20" i="4" s="1"/>
  <c r="CK20" i="4" s="1"/>
  <c r="CL20" i="4" s="1"/>
  <c r="CM20" i="4" s="1"/>
  <c r="CN20" i="4" s="1"/>
  <c r="CO20" i="4" s="1"/>
  <c r="CP20" i="4" s="1"/>
  <c r="CQ20" i="4" s="1"/>
  <c r="CR20" i="4" s="1"/>
  <c r="CS20" i="4" s="1"/>
  <c r="CT20" i="4" s="1"/>
  <c r="AT20" i="4"/>
  <c r="CV20" i="4" s="1"/>
  <c r="G14" i="5"/>
  <c r="F26" i="5"/>
  <c r="G26" i="5" s="1"/>
  <c r="C52" i="7"/>
  <c r="C54" i="7"/>
  <c r="C53" i="7"/>
  <c r="C51" i="7"/>
  <c r="B137" i="8"/>
  <c r="C136" i="8"/>
  <c r="B136" i="8"/>
  <c r="C137" i="8"/>
  <c r="AC137" i="8"/>
  <c r="AH137" i="8"/>
  <c r="I137" i="8"/>
  <c r="U137" i="8"/>
  <c r="AA137" i="8"/>
  <c r="R137" i="8"/>
  <c r="T137" i="8"/>
  <c r="H137" i="8"/>
  <c r="G137" i="8"/>
  <c r="F137" i="8"/>
  <c r="E137" i="8"/>
  <c r="J137" i="8"/>
  <c r="AD137" i="8"/>
  <c r="Q137" i="8"/>
  <c r="Z137" i="8"/>
  <c r="S137" i="8"/>
  <c r="AB137" i="8"/>
  <c r="D137" i="8"/>
  <c r="AE137" i="8"/>
  <c r="AG137" i="8"/>
  <c r="Y137" i="8"/>
  <c r="AF137" i="8"/>
  <c r="X137" i="8"/>
  <c r="N137" i="8"/>
  <c r="K137" i="8"/>
  <c r="O137" i="8"/>
  <c r="P137" i="8"/>
  <c r="V137" i="8"/>
  <c r="W137" i="8"/>
  <c r="M137" i="8"/>
  <c r="L137" i="8"/>
  <c r="K30" i="8"/>
  <c r="L53" i="2"/>
  <c r="K170" i="1"/>
  <c r="G41" i="9"/>
  <c r="C12" i="8"/>
  <c r="D37" i="2"/>
  <c r="C154" i="1"/>
  <c r="J69" i="2"/>
  <c r="I8" i="12"/>
  <c r="G12" i="3"/>
  <c r="H53" i="8"/>
  <c r="I9" i="2"/>
  <c r="G122" i="8"/>
  <c r="H98" i="1"/>
  <c r="G8" i="2"/>
  <c r="F97" i="1"/>
  <c r="E121" i="8"/>
  <c r="F52" i="8"/>
  <c r="D33" i="11"/>
  <c r="H47" i="5"/>
  <c r="G88" i="5"/>
  <c r="C76" i="8"/>
  <c r="C159" i="8" s="1"/>
  <c r="B105" i="8"/>
  <c r="B44" i="8"/>
  <c r="D71" i="5"/>
  <c r="D72" i="5" s="1"/>
  <c r="E70" i="5" s="1"/>
  <c r="D135" i="8"/>
  <c r="B41" i="7"/>
  <c r="E41" i="7" s="1"/>
  <c r="B35" i="7"/>
  <c r="B46" i="7"/>
  <c r="B192" i="8"/>
  <c r="B31" i="9" s="1"/>
  <c r="B35" i="9" s="1"/>
  <c r="B191" i="5"/>
  <c r="B193" i="5" s="1"/>
  <c r="B241" i="5"/>
  <c r="H16" i="5"/>
  <c r="I16" i="5" s="1"/>
  <c r="C116" i="8"/>
  <c r="C38" i="5"/>
  <c r="C39" i="5" s="1"/>
  <c r="D37" i="5" s="1"/>
  <c r="E182" i="1"/>
  <c r="F181" i="1"/>
  <c r="F88" i="8"/>
  <c r="F18" i="5"/>
  <c r="G9" i="5"/>
  <c r="E52" i="15"/>
  <c r="E66" i="15"/>
  <c r="F84" i="5"/>
  <c r="F85" i="5" s="1"/>
  <c r="F86" i="5" s="1"/>
  <c r="E298" i="5"/>
  <c r="H56" i="5"/>
  <c r="C299" i="5"/>
  <c r="D90" i="5"/>
  <c r="D91" i="5" s="1"/>
  <c r="D92" i="5" s="1"/>
  <c r="C78" i="5"/>
  <c r="D34" i="2"/>
  <c r="C9" i="8"/>
  <c r="G68" i="5"/>
  <c r="L140" i="8"/>
  <c r="D177" i="8"/>
  <c r="C20" i="12"/>
  <c r="B38" i="12"/>
  <c r="D54" i="8"/>
  <c r="F193" i="1"/>
  <c r="G192" i="1"/>
  <c r="BH5" i="4"/>
  <c r="BG5" i="4"/>
  <c r="C73" i="8"/>
  <c r="C175" i="1"/>
  <c r="L58" i="8"/>
  <c r="G157" i="1"/>
  <c r="H40" i="2"/>
  <c r="G24" i="8"/>
  <c r="F158" i="1"/>
  <c r="H41" i="2" s="1"/>
  <c r="J75" i="2"/>
  <c r="J76" i="2"/>
  <c r="J71" i="2"/>
  <c r="H68" i="1"/>
  <c r="G14" i="3"/>
  <c r="H23" i="5"/>
  <c r="I23" i="5" s="1"/>
  <c r="H94" i="8"/>
  <c r="H176" i="8" s="1"/>
  <c r="H194" i="1"/>
  <c r="C16" i="9"/>
  <c r="C37" i="9"/>
  <c r="C38" i="9" s="1"/>
  <c r="G45" i="5"/>
  <c r="H43" i="5" s="1"/>
  <c r="H44" i="5" s="1"/>
  <c r="H41" i="5"/>
  <c r="G82" i="5"/>
  <c r="D121" i="1"/>
  <c r="E108" i="1"/>
  <c r="D120" i="1"/>
  <c r="E57" i="8"/>
  <c r="F11" i="2"/>
  <c r="G84" i="5" l="1"/>
  <c r="G85" i="5" s="1"/>
  <c r="G86" i="5" s="1"/>
  <c r="F298" i="5"/>
  <c r="C80" i="8"/>
  <c r="C163" i="8" s="1"/>
  <c r="D77" i="8"/>
  <c r="F108" i="1"/>
  <c r="E121" i="1"/>
  <c r="E120" i="1"/>
  <c r="G11" i="2"/>
  <c r="G25" i="8"/>
  <c r="G31" i="8"/>
  <c r="M58" i="8"/>
  <c r="BT5" i="4"/>
  <c r="BU5" i="4"/>
  <c r="E90" i="5"/>
  <c r="E91" i="5" s="1"/>
  <c r="E92" i="5" s="1"/>
  <c r="D299" i="5"/>
  <c r="D38" i="5"/>
  <c r="D39" i="5" s="1"/>
  <c r="E37" i="5" s="1"/>
  <c r="D116" i="8"/>
  <c r="G97" i="1"/>
  <c r="G52" i="8"/>
  <c r="H8" i="2"/>
  <c r="F121" i="8"/>
  <c r="L170" i="1"/>
  <c r="M53" i="2"/>
  <c r="L30" i="8"/>
  <c r="C17" i="8"/>
  <c r="D47" i="2"/>
  <c r="B246" i="5"/>
  <c r="D74" i="8"/>
  <c r="F136" i="8"/>
  <c r="F242" i="5"/>
  <c r="F288" i="5"/>
  <c r="F117" i="8"/>
  <c r="F256" i="5"/>
  <c r="E11" i="10" s="1"/>
  <c r="E12" i="10" s="1"/>
  <c r="E14" i="10" s="1"/>
  <c r="F179" i="5"/>
  <c r="E76" i="5"/>
  <c r="F35" i="5"/>
  <c r="B41" i="9"/>
  <c r="H286" i="5"/>
  <c r="H172" i="8"/>
  <c r="C79" i="8"/>
  <c r="G56" i="8"/>
  <c r="H25" i="5"/>
  <c r="G134" i="8"/>
  <c r="I26" i="8"/>
  <c r="I159" i="1"/>
  <c r="J42" i="2"/>
  <c r="K10" i="5"/>
  <c r="L10" i="5" s="1"/>
  <c r="M8" i="2"/>
  <c r="M9" i="2"/>
  <c r="M7" i="2"/>
  <c r="M13" i="2"/>
  <c r="M14" i="2"/>
  <c r="M12" i="2"/>
  <c r="D13" i="8"/>
  <c r="E38" i="2"/>
  <c r="C282" i="5"/>
  <c r="C160" i="8"/>
  <c r="B45" i="8"/>
  <c r="B46" i="8" s="1"/>
  <c r="J23" i="5"/>
  <c r="K23" i="5" s="1"/>
  <c r="D73" i="8"/>
  <c r="G193" i="1"/>
  <c r="H192" i="1"/>
  <c r="G15" i="5"/>
  <c r="H15" i="5" s="1"/>
  <c r="C33" i="9"/>
  <c r="C79" i="5"/>
  <c r="C80" i="5" s="1"/>
  <c r="C289" i="5"/>
  <c r="C11" i="9" s="1"/>
  <c r="F170" i="8"/>
  <c r="F89" i="8"/>
  <c r="F95" i="8"/>
  <c r="F284" i="5"/>
  <c r="D55" i="7"/>
  <c r="B272" i="5"/>
  <c r="B108" i="8"/>
  <c r="B109" i="8" s="1"/>
  <c r="H51" i="5"/>
  <c r="I47" i="5"/>
  <c r="D12" i="8"/>
  <c r="E37" i="2"/>
  <c r="D46" i="2"/>
  <c r="C16" i="8"/>
  <c r="B194" i="5"/>
  <c r="G257" i="5"/>
  <c r="G259" i="5"/>
  <c r="H168" i="1"/>
  <c r="I51" i="2"/>
  <c r="G169" i="1"/>
  <c r="I52" i="2" s="1"/>
  <c r="H28" i="8"/>
  <c r="H29" i="8" s="1"/>
  <c r="D60" i="8"/>
  <c r="C83" i="8"/>
  <c r="C142" i="8"/>
  <c r="F134" i="8"/>
  <c r="D124" i="5"/>
  <c r="D94" i="5"/>
  <c r="H70" i="8"/>
  <c r="I6" i="8"/>
  <c r="D139" i="8"/>
  <c r="C113" i="1"/>
  <c r="C164" i="1" s="1"/>
  <c r="E120" i="8"/>
  <c r="E123" i="8" s="1"/>
  <c r="D99" i="1"/>
  <c r="D179" i="1" s="1"/>
  <c r="H28" i="5"/>
  <c r="I28" i="5" s="1"/>
  <c r="C152" i="1"/>
  <c r="C10" i="11"/>
  <c r="E60" i="8"/>
  <c r="H14" i="3"/>
  <c r="K71" i="2"/>
  <c r="K76" i="2"/>
  <c r="K75" i="2"/>
  <c r="G158" i="1"/>
  <c r="I41" i="2" s="1"/>
  <c r="H157" i="1"/>
  <c r="I40" i="2"/>
  <c r="C156" i="8"/>
  <c r="C114" i="8"/>
  <c r="M140" i="8"/>
  <c r="C151" i="1"/>
  <c r="G181" i="1"/>
  <c r="F182" i="1"/>
  <c r="G88" i="8"/>
  <c r="C178" i="1"/>
  <c r="H122" i="8"/>
  <c r="I122" i="8" s="1"/>
  <c r="J122" i="8" s="1"/>
  <c r="K122" i="8" s="1"/>
  <c r="L122" i="8" s="1"/>
  <c r="M122" i="8" s="1"/>
  <c r="N122" i="8" s="1"/>
  <c r="O122" i="8" s="1"/>
  <c r="P122" i="8" s="1"/>
  <c r="Q122" i="8" s="1"/>
  <c r="R122" i="8" s="1"/>
  <c r="S122" i="8" s="1"/>
  <c r="T122" i="8" s="1"/>
  <c r="U122" i="8" s="1"/>
  <c r="V122" i="8" s="1"/>
  <c r="W122" i="8" s="1"/>
  <c r="X122" i="8" s="1"/>
  <c r="Y122" i="8" s="1"/>
  <c r="Z122" i="8" s="1"/>
  <c r="AA122" i="8" s="1"/>
  <c r="AB122" i="8" s="1"/>
  <c r="AC122" i="8" s="1"/>
  <c r="AD122" i="8" s="1"/>
  <c r="AE122" i="8" s="1"/>
  <c r="AF122" i="8" s="1"/>
  <c r="AG122" i="8" s="1"/>
  <c r="AH122" i="8" s="1"/>
  <c r="J9" i="2"/>
  <c r="I53" i="8"/>
  <c r="H12" i="3"/>
  <c r="J8" i="12"/>
  <c r="K69" i="2"/>
  <c r="H14" i="5"/>
  <c r="I14" i="5" s="1"/>
  <c r="C15" i="8"/>
  <c r="D45" i="2"/>
  <c r="D49" i="2"/>
  <c r="C19" i="8"/>
  <c r="G75" i="1"/>
  <c r="H112" i="5" s="1"/>
  <c r="H111" i="5" s="1"/>
  <c r="C72" i="15"/>
  <c r="C68" i="15"/>
  <c r="C48" i="15"/>
  <c r="C22" i="15"/>
  <c r="C32" i="15"/>
  <c r="C44" i="15"/>
  <c r="C73" i="15"/>
  <c r="C42" i="15"/>
  <c r="C12" i="15"/>
  <c r="C77" i="15"/>
  <c r="C59" i="15"/>
  <c r="C28" i="15"/>
  <c r="C30" i="15"/>
  <c r="C55" i="15"/>
  <c r="C33" i="15"/>
  <c r="C74" i="15"/>
  <c r="C71" i="15"/>
  <c r="C41" i="15"/>
  <c r="C19" i="15"/>
  <c r="C78" i="15"/>
  <c r="C27" i="15"/>
  <c r="C64" i="15"/>
  <c r="C34" i="15"/>
  <c r="C76" i="15"/>
  <c r="C40" i="15"/>
  <c r="C14" i="15"/>
  <c r="C62" i="15"/>
  <c r="C26" i="15"/>
  <c r="C16" i="15"/>
  <c r="C35" i="15"/>
  <c r="C69" i="15"/>
  <c r="C43" i="15"/>
  <c r="C58" i="15"/>
  <c r="C50" i="15"/>
  <c r="C20" i="15"/>
  <c r="C75" i="15"/>
  <c r="C36" i="15"/>
  <c r="C60" i="15"/>
  <c r="C13" i="15"/>
  <c r="C29" i="15"/>
  <c r="C49" i="15"/>
  <c r="C61" i="15"/>
  <c r="C54" i="15"/>
  <c r="C70" i="15"/>
  <c r="C46" i="15"/>
  <c r="C31" i="15"/>
  <c r="C17" i="15"/>
  <c r="C45" i="15"/>
  <c r="C57" i="15"/>
  <c r="C63" i="15"/>
  <c r="C15" i="15"/>
  <c r="C18" i="15"/>
  <c r="C56" i="15"/>
  <c r="C47" i="15"/>
  <c r="C21" i="15"/>
  <c r="I27" i="5"/>
  <c r="J27" i="5" s="1"/>
  <c r="Q62" i="5"/>
  <c r="P66" i="5"/>
  <c r="Q64" i="5" s="1"/>
  <c r="Q65" i="5" s="1"/>
  <c r="C153" i="1"/>
  <c r="G115" i="8"/>
  <c r="G50" i="8"/>
  <c r="H20" i="5"/>
  <c r="C82" i="8"/>
  <c r="C177" i="1"/>
  <c r="N3" i="2"/>
  <c r="N4" i="2"/>
  <c r="O2" i="2"/>
  <c r="N60" i="2"/>
  <c r="N74" i="2"/>
  <c r="E74" i="5"/>
  <c r="F31" i="5"/>
  <c r="E18" i="11"/>
  <c r="E32" i="11"/>
  <c r="G59" i="5"/>
  <c r="G60" i="5" s="1"/>
  <c r="H58" i="5" s="1"/>
  <c r="G59" i="8"/>
  <c r="G141" i="8"/>
  <c r="H14" i="2"/>
  <c r="G112" i="1"/>
  <c r="D36" i="11"/>
  <c r="F25" i="8"/>
  <c r="F31" i="8" s="1"/>
  <c r="E103" i="1"/>
  <c r="G7" i="2"/>
  <c r="F95" i="1"/>
  <c r="E104" i="1"/>
  <c r="E96" i="1"/>
  <c r="F51" i="8"/>
  <c r="F8" i="11"/>
  <c r="E33" i="11"/>
  <c r="C39" i="8"/>
  <c r="C45" i="8" s="1"/>
  <c r="C44" i="8"/>
  <c r="H82" i="5"/>
  <c r="I41" i="5"/>
  <c r="H45" i="5"/>
  <c r="I43" i="5" s="1"/>
  <c r="I44" i="5" s="1"/>
  <c r="I94" i="8"/>
  <c r="I176" i="8" s="1"/>
  <c r="I194" i="1"/>
  <c r="H74" i="1"/>
  <c r="J26" i="2"/>
  <c r="B22" i="4"/>
  <c r="G92" i="8"/>
  <c r="H68" i="5"/>
  <c r="I56" i="5"/>
  <c r="H9" i="5"/>
  <c r="B245" i="5"/>
  <c r="E71" i="5"/>
  <c r="E72" i="5" s="1"/>
  <c r="F70" i="5" s="1"/>
  <c r="E135" i="8"/>
  <c r="I11" i="5"/>
  <c r="J11" i="5" s="1"/>
  <c r="B165" i="1"/>
  <c r="C279" i="5"/>
  <c r="C157" i="8"/>
  <c r="I12" i="5"/>
  <c r="J12" i="5" s="1"/>
  <c r="B14" i="11"/>
  <c r="C12" i="12"/>
  <c r="C239" i="5"/>
  <c r="C240" i="5" s="1"/>
  <c r="C189" i="5"/>
  <c r="C190" i="5" s="1"/>
  <c r="E285" i="5"/>
  <c r="E283" i="5" s="1"/>
  <c r="E171" i="8"/>
  <c r="E177" i="8" s="1"/>
  <c r="I183" i="1"/>
  <c r="I90" i="8"/>
  <c r="F56" i="8"/>
  <c r="C158" i="8"/>
  <c r="F52" i="15"/>
  <c r="F66" i="15"/>
  <c r="G6" i="5"/>
  <c r="G13" i="13"/>
  <c r="G38" i="13" s="1"/>
  <c r="G63" i="13" s="1"/>
  <c r="G88" i="13" s="1"/>
  <c r="G10" i="15"/>
  <c r="G24" i="15" s="1"/>
  <c r="G38" i="15" s="1"/>
  <c r="F53" i="5"/>
  <c r="F5" i="12"/>
  <c r="F7" i="11"/>
  <c r="G6" i="11"/>
  <c r="D110" i="1"/>
  <c r="D118" i="1"/>
  <c r="D117" i="1"/>
  <c r="D119" i="1"/>
  <c r="F12" i="2"/>
  <c r="E11" i="11"/>
  <c r="E109" i="1"/>
  <c r="E54" i="8"/>
  <c r="E47" i="2" l="1"/>
  <c r="D17" i="8"/>
  <c r="D164" i="1"/>
  <c r="E77" i="8"/>
  <c r="C20" i="8"/>
  <c r="C32" i="8" s="1"/>
  <c r="C46" i="8" s="1"/>
  <c r="H84" i="5"/>
  <c r="H85" i="5" s="1"/>
  <c r="H86" i="5" s="1"/>
  <c r="G298" i="5"/>
  <c r="E36" i="11"/>
  <c r="H10" i="15"/>
  <c r="H24" i="15" s="1"/>
  <c r="H38" i="15" s="1"/>
  <c r="H13" i="13"/>
  <c r="H38" i="13" s="1"/>
  <c r="H63" i="13" s="1"/>
  <c r="H88" i="13" s="1"/>
  <c r="G5" i="12"/>
  <c r="G53" i="5"/>
  <c r="H6" i="5"/>
  <c r="C13" i="12"/>
  <c r="J56" i="5"/>
  <c r="F33" i="11"/>
  <c r="F104" i="1"/>
  <c r="F96" i="1"/>
  <c r="G8" i="11"/>
  <c r="G51" i="8"/>
  <c r="G95" i="1"/>
  <c r="F103" i="1"/>
  <c r="H7" i="2"/>
  <c r="H59" i="5"/>
  <c r="H60" i="5" s="1"/>
  <c r="I58" i="5" s="1"/>
  <c r="G31" i="5"/>
  <c r="F74" i="5"/>
  <c r="O4" i="2"/>
  <c r="O3" i="2"/>
  <c r="O74" i="2"/>
  <c r="P2" i="2"/>
  <c r="O60" i="2"/>
  <c r="C281" i="5"/>
  <c r="C165" i="8"/>
  <c r="L69" i="2"/>
  <c r="K8" i="12"/>
  <c r="I12" i="3"/>
  <c r="N140" i="8"/>
  <c r="J28" i="5"/>
  <c r="K28" i="5" s="1"/>
  <c r="C190" i="1"/>
  <c r="C46" i="13"/>
  <c r="C71" i="13"/>
  <c r="C43" i="13"/>
  <c r="C90" i="13"/>
  <c r="C25" i="13"/>
  <c r="C40" i="13"/>
  <c r="C22" i="13"/>
  <c r="C73" i="13"/>
  <c r="C42" i="13"/>
  <c r="C98" i="13"/>
  <c r="C16" i="13"/>
  <c r="C21" i="13"/>
  <c r="C94" i="13"/>
  <c r="C67" i="13"/>
  <c r="C93" i="13"/>
  <c r="C100" i="13"/>
  <c r="C45" i="13"/>
  <c r="C91" i="13"/>
  <c r="C41" i="13"/>
  <c r="C48" i="13"/>
  <c r="C50" i="13"/>
  <c r="C15" i="13"/>
  <c r="C44" i="13"/>
  <c r="C66" i="13"/>
  <c r="C95" i="13"/>
  <c r="C47" i="13"/>
  <c r="C65" i="13"/>
  <c r="C19" i="13"/>
  <c r="C24" i="13"/>
  <c r="C18" i="13"/>
  <c r="C74" i="13"/>
  <c r="C70" i="13"/>
  <c r="C23" i="13"/>
  <c r="C17" i="13"/>
  <c r="C75" i="13"/>
  <c r="C99" i="13"/>
  <c r="C20" i="13"/>
  <c r="C97" i="13"/>
  <c r="C72" i="13"/>
  <c r="C96" i="13"/>
  <c r="C49" i="13"/>
  <c r="C68" i="13"/>
  <c r="C92" i="13"/>
  <c r="C69" i="13"/>
  <c r="J47" i="5"/>
  <c r="D78" i="5"/>
  <c r="C297" i="5"/>
  <c r="C296" i="5" s="1"/>
  <c r="H193" i="1"/>
  <c r="I192" i="1"/>
  <c r="I92" i="8"/>
  <c r="C162" i="8"/>
  <c r="F76" i="5"/>
  <c r="G35" i="5"/>
  <c r="C79" i="13"/>
  <c r="C33" i="13"/>
  <c r="C26" i="13"/>
  <c r="C35" i="13"/>
  <c r="C27" i="13"/>
  <c r="C51" i="13"/>
  <c r="C28" i="13"/>
  <c r="C85" i="13"/>
  <c r="C83" i="13"/>
  <c r="C58" i="13"/>
  <c r="C54" i="13"/>
  <c r="C77" i="13"/>
  <c r="C76" i="13"/>
  <c r="C36" i="13"/>
  <c r="C29" i="13"/>
  <c r="C82" i="13"/>
  <c r="C84" i="13"/>
  <c r="C34" i="13"/>
  <c r="C32" i="13"/>
  <c r="C86" i="13"/>
  <c r="C60" i="13"/>
  <c r="C80" i="13"/>
  <c r="C53" i="13"/>
  <c r="C52" i="13"/>
  <c r="C61" i="13"/>
  <c r="C57" i="13"/>
  <c r="C78" i="13"/>
  <c r="C59" i="13"/>
  <c r="C31" i="13"/>
  <c r="C55" i="13"/>
  <c r="C30" i="13"/>
  <c r="C81" i="13"/>
  <c r="C56" i="13"/>
  <c r="CH5" i="4"/>
  <c r="CT5" i="4" s="1"/>
  <c r="CG5" i="4"/>
  <c r="D160" i="8"/>
  <c r="D113" i="1"/>
  <c r="E139" i="8"/>
  <c r="I286" i="5"/>
  <c r="I172" i="8"/>
  <c r="B15" i="11"/>
  <c r="B21" i="11"/>
  <c r="B23" i="11" s="1"/>
  <c r="B25" i="11" s="1"/>
  <c r="B28" i="11" s="1"/>
  <c r="K11" i="5"/>
  <c r="L11" i="5" s="1"/>
  <c r="G174" i="8"/>
  <c r="G93" i="8"/>
  <c r="G175" i="8" s="1"/>
  <c r="J29" i="2"/>
  <c r="I107" i="5"/>
  <c r="I108" i="5" s="1"/>
  <c r="I45" i="5"/>
  <c r="J43" i="5" s="1"/>
  <c r="J44" i="5" s="1"/>
  <c r="I82" i="5"/>
  <c r="J41" i="5"/>
  <c r="B21" i="4"/>
  <c r="F54" i="8"/>
  <c r="E94" i="5"/>
  <c r="E124" i="5"/>
  <c r="C189" i="1"/>
  <c r="R62" i="5"/>
  <c r="Q66" i="5"/>
  <c r="R64" i="5" s="1"/>
  <c r="R65" i="5" s="1"/>
  <c r="C166" i="1"/>
  <c r="J53" i="8"/>
  <c r="D178" i="1"/>
  <c r="D76" i="8"/>
  <c r="D159" i="8" s="1"/>
  <c r="H88" i="8"/>
  <c r="G182" i="1"/>
  <c r="H181" i="1"/>
  <c r="C278" i="5"/>
  <c r="H24" i="8"/>
  <c r="I14" i="3"/>
  <c r="L71" i="2"/>
  <c r="C14" i="11"/>
  <c r="D142" i="8"/>
  <c r="I28" i="8"/>
  <c r="I29" i="8" s="1"/>
  <c r="H169" i="1"/>
  <c r="J52" i="2" s="1"/>
  <c r="J51" i="2"/>
  <c r="I168" i="1"/>
  <c r="C163" i="1"/>
  <c r="I49" i="5"/>
  <c r="I50" i="5" s="1"/>
  <c r="I51" i="5" s="1"/>
  <c r="J49" i="5" s="1"/>
  <c r="J50" i="5" s="1"/>
  <c r="C55" i="7"/>
  <c r="F285" i="5"/>
  <c r="F171" i="8"/>
  <c r="F177" i="8" s="1"/>
  <c r="H92" i="8"/>
  <c r="I25" i="5"/>
  <c r="H56" i="8"/>
  <c r="H134" i="8"/>
  <c r="L21" i="5"/>
  <c r="M21" i="5" s="1"/>
  <c r="N53" i="2"/>
  <c r="M170" i="1"/>
  <c r="M30" i="8"/>
  <c r="H52" i="8"/>
  <c r="G121" i="8"/>
  <c r="H97" i="1"/>
  <c r="I8" i="2"/>
  <c r="E38" i="5"/>
  <c r="E39" i="5" s="1"/>
  <c r="F37" i="5" s="1"/>
  <c r="E116" i="8"/>
  <c r="C187" i="1"/>
  <c r="H6" i="11"/>
  <c r="G7" i="11"/>
  <c r="G52" i="15"/>
  <c r="G66" i="15"/>
  <c r="J183" i="1"/>
  <c r="J90" i="8"/>
  <c r="B20" i="11"/>
  <c r="B22" i="11" s="1"/>
  <c r="B24" i="11" s="1"/>
  <c r="B27" i="11" s="1"/>
  <c r="D48" i="2"/>
  <c r="C165" i="1"/>
  <c r="C18" i="8"/>
  <c r="H18" i="5"/>
  <c r="I9" i="5"/>
  <c r="J194" i="1"/>
  <c r="J94" i="8"/>
  <c r="J176" i="8" s="1"/>
  <c r="F120" i="8"/>
  <c r="F123" i="8" s="1"/>
  <c r="E99" i="1"/>
  <c r="E179" i="1" s="1"/>
  <c r="N14" i="2"/>
  <c r="N13" i="2"/>
  <c r="N8" i="2"/>
  <c r="N9" i="2"/>
  <c r="N7" i="2"/>
  <c r="N12" i="2"/>
  <c r="H115" i="8"/>
  <c r="H50" i="8"/>
  <c r="I20" i="5"/>
  <c r="K27" i="5"/>
  <c r="L27" i="5" s="1"/>
  <c r="C162" i="1"/>
  <c r="J16" i="5"/>
  <c r="K16" i="5" s="1"/>
  <c r="D151" i="1"/>
  <c r="D9" i="8"/>
  <c r="E34" i="2"/>
  <c r="L76" i="2"/>
  <c r="L75" i="2"/>
  <c r="D189" i="5"/>
  <c r="D239" i="5"/>
  <c r="D12" i="12"/>
  <c r="D13" i="12" s="1"/>
  <c r="D21" i="12" s="1"/>
  <c r="H257" i="5"/>
  <c r="H259" i="5"/>
  <c r="D154" i="1"/>
  <c r="B10" i="9"/>
  <c r="B302" i="5"/>
  <c r="B211" i="5" s="1"/>
  <c r="B110" i="8"/>
  <c r="B207" i="5" s="1"/>
  <c r="B175" i="5"/>
  <c r="D155" i="1"/>
  <c r="K42" i="2"/>
  <c r="J159" i="1"/>
  <c r="J26" i="8"/>
  <c r="D176" i="1"/>
  <c r="H26" i="5"/>
  <c r="I26" i="5" s="1"/>
  <c r="F121" i="1"/>
  <c r="F120" i="1"/>
  <c r="H11" i="2"/>
  <c r="G108" i="1"/>
  <c r="E119" i="1"/>
  <c r="G12" i="2"/>
  <c r="F11" i="11"/>
  <c r="F109" i="1"/>
  <c r="E110" i="1"/>
  <c r="E117" i="1"/>
  <c r="E118" i="1"/>
  <c r="F18" i="11"/>
  <c r="F32" i="11"/>
  <c r="K12" i="5"/>
  <c r="L12" i="5" s="1"/>
  <c r="F71" i="5"/>
  <c r="F72" i="5" s="1"/>
  <c r="G70" i="5" s="1"/>
  <c r="F135" i="8"/>
  <c r="G18" i="5"/>
  <c r="I68" i="5"/>
  <c r="H75" i="1"/>
  <c r="I112" i="5" s="1"/>
  <c r="I111" i="5" s="1"/>
  <c r="H112" i="1"/>
  <c r="H141" i="8"/>
  <c r="I14" i="2"/>
  <c r="H59" i="8"/>
  <c r="D75" i="8"/>
  <c r="D177" i="1"/>
  <c r="E36" i="2"/>
  <c r="D11" i="8"/>
  <c r="D153" i="1"/>
  <c r="G89" i="8"/>
  <c r="G284" i="5"/>
  <c r="G170" i="8"/>
  <c r="H158" i="1"/>
  <c r="J41" i="2" s="1"/>
  <c r="I24" i="8"/>
  <c r="I157" i="1"/>
  <c r="J40" i="2"/>
  <c r="E35" i="2"/>
  <c r="D152" i="1"/>
  <c r="D10" i="8"/>
  <c r="I17" i="5"/>
  <c r="J17" i="5" s="1"/>
  <c r="I70" i="8"/>
  <c r="J6" i="8"/>
  <c r="J22" i="5"/>
  <c r="K22" i="5" s="1"/>
  <c r="C166" i="8"/>
  <c r="G288" i="5"/>
  <c r="G242" i="5"/>
  <c r="G117" i="8"/>
  <c r="G179" i="5"/>
  <c r="G136" i="8"/>
  <c r="G256" i="5"/>
  <c r="F11" i="10" s="1"/>
  <c r="F12" i="10" s="1"/>
  <c r="F14" i="10" s="1"/>
  <c r="H88" i="5"/>
  <c r="F283" i="5"/>
  <c r="D175" i="1"/>
  <c r="C186" i="1"/>
  <c r="D157" i="8"/>
  <c r="F90" i="5"/>
  <c r="F91" i="5" s="1"/>
  <c r="F92" i="5" s="1"/>
  <c r="E299" i="5"/>
  <c r="N58" i="8"/>
  <c r="F57" i="8"/>
  <c r="F77" i="8" l="1"/>
  <c r="H298" i="5"/>
  <c r="I84" i="5"/>
  <c r="I85" i="5" s="1"/>
  <c r="I86" i="5" s="1"/>
  <c r="K6" i="8"/>
  <c r="J70" i="8"/>
  <c r="F35" i="2"/>
  <c r="E10" i="8"/>
  <c r="E152" i="1"/>
  <c r="I25" i="8"/>
  <c r="I31" i="8" s="1"/>
  <c r="J68" i="5"/>
  <c r="G71" i="5"/>
  <c r="G72" i="5" s="1"/>
  <c r="H70" i="5" s="1"/>
  <c r="G135" i="8"/>
  <c r="E113" i="1"/>
  <c r="E164" i="1" s="1"/>
  <c r="F139" i="8"/>
  <c r="E12" i="8"/>
  <c r="E154" i="1"/>
  <c r="F37" i="2"/>
  <c r="M75" i="2"/>
  <c r="M76" i="2"/>
  <c r="D64" i="8"/>
  <c r="M27" i="5"/>
  <c r="N27" i="5" s="1"/>
  <c r="K94" i="8"/>
  <c r="K176" i="8" s="1"/>
  <c r="K194" i="1"/>
  <c r="D165" i="1"/>
  <c r="D18" i="8"/>
  <c r="E48" i="2"/>
  <c r="D80" i="8"/>
  <c r="D187" i="1"/>
  <c r="H121" i="8"/>
  <c r="I121" i="8" s="1"/>
  <c r="J121" i="8" s="1"/>
  <c r="K121" i="8" s="1"/>
  <c r="L121" i="8" s="1"/>
  <c r="M121" i="8" s="1"/>
  <c r="N121" i="8" s="1"/>
  <c r="O121" i="8" s="1"/>
  <c r="P121" i="8" s="1"/>
  <c r="Q121" i="8" s="1"/>
  <c r="R121" i="8" s="1"/>
  <c r="S121" i="8" s="1"/>
  <c r="T121" i="8" s="1"/>
  <c r="U121" i="8" s="1"/>
  <c r="V121" i="8" s="1"/>
  <c r="W121" i="8" s="1"/>
  <c r="X121" i="8" s="1"/>
  <c r="Y121" i="8" s="1"/>
  <c r="Z121" i="8" s="1"/>
  <c r="AA121" i="8" s="1"/>
  <c r="AB121" i="8" s="1"/>
  <c r="AC121" i="8" s="1"/>
  <c r="AD121" i="8" s="1"/>
  <c r="AE121" i="8" s="1"/>
  <c r="AF121" i="8" s="1"/>
  <c r="AG121" i="8" s="1"/>
  <c r="AH121" i="8" s="1"/>
  <c r="J8" i="2"/>
  <c r="I52" i="8"/>
  <c r="O53" i="2"/>
  <c r="N170" i="1"/>
  <c r="N30" i="8"/>
  <c r="H174" i="8"/>
  <c r="H93" i="8"/>
  <c r="H175" i="8" s="1"/>
  <c r="I181" i="1"/>
  <c r="I88" i="8"/>
  <c r="H182" i="1"/>
  <c r="E76" i="8"/>
  <c r="E159" i="8" s="1"/>
  <c r="E178" i="1"/>
  <c r="D19" i="8"/>
  <c r="D166" i="1"/>
  <c r="E49" i="2"/>
  <c r="E189" i="5"/>
  <c r="E239" i="5"/>
  <c r="E12" i="12"/>
  <c r="D156" i="8"/>
  <c r="I193" i="1"/>
  <c r="J92" i="8"/>
  <c r="J192" i="1"/>
  <c r="J88" i="5"/>
  <c r="K47" i="5"/>
  <c r="J51" i="5"/>
  <c r="K49" i="5" s="1"/>
  <c r="K50" i="5" s="1"/>
  <c r="I59" i="5"/>
  <c r="I60" i="5" s="1"/>
  <c r="J58" i="5" s="1"/>
  <c r="G54" i="8"/>
  <c r="K56" i="5"/>
  <c r="I10" i="15"/>
  <c r="I24" i="15" s="1"/>
  <c r="I38" i="15" s="1"/>
  <c r="H53" i="5"/>
  <c r="I13" i="13"/>
  <c r="I38" i="13" s="1"/>
  <c r="I63" i="13" s="1"/>
  <c r="I88" i="13" s="1"/>
  <c r="I6" i="5"/>
  <c r="H5" i="12"/>
  <c r="H52" i="15"/>
  <c r="H66" i="15"/>
  <c r="O58" i="8"/>
  <c r="G285" i="5"/>
  <c r="G283" i="5" s="1"/>
  <c r="G171" i="8"/>
  <c r="J14" i="2"/>
  <c r="K14" i="2" s="1"/>
  <c r="L14" i="2" s="1"/>
  <c r="I141" i="8"/>
  <c r="I59" i="8"/>
  <c r="G11" i="11"/>
  <c r="F110" i="1"/>
  <c r="G109" i="1"/>
  <c r="H12" i="2"/>
  <c r="F118" i="1"/>
  <c r="F119" i="1"/>
  <c r="F117" i="1"/>
  <c r="H57" i="8"/>
  <c r="H108" i="1"/>
  <c r="I11" i="2"/>
  <c r="G121" i="1"/>
  <c r="G120" i="1"/>
  <c r="E155" i="1"/>
  <c r="F38" i="2"/>
  <c r="E13" i="8"/>
  <c r="I259" i="5"/>
  <c r="I257" i="5"/>
  <c r="E74" i="15"/>
  <c r="E71" i="15"/>
  <c r="E54" i="15"/>
  <c r="E48" i="15"/>
  <c r="E31" i="15"/>
  <c r="E28" i="15"/>
  <c r="E22" i="15"/>
  <c r="E75" i="15"/>
  <c r="E72" i="15"/>
  <c r="E55" i="15"/>
  <c r="E49" i="15"/>
  <c r="E32" i="15"/>
  <c r="E29" i="15"/>
  <c r="E12" i="15"/>
  <c r="E69" i="15"/>
  <c r="E63" i="15"/>
  <c r="E45" i="15"/>
  <c r="E43" i="15"/>
  <c r="E26" i="15"/>
  <c r="E20" i="15"/>
  <c r="E73" i="15"/>
  <c r="E70" i="15"/>
  <c r="E64" i="15"/>
  <c r="E47" i="15"/>
  <c r="E44" i="15"/>
  <c r="E27" i="15"/>
  <c r="E21" i="15"/>
  <c r="E60" i="15"/>
  <c r="E50" i="15"/>
  <c r="E30" i="15"/>
  <c r="E77" i="15"/>
  <c r="E57" i="15"/>
  <c r="E34" i="15"/>
  <c r="E14" i="15"/>
  <c r="E61" i="15"/>
  <c r="E41" i="15"/>
  <c r="E18" i="15"/>
  <c r="E68" i="15"/>
  <c r="E46" i="15"/>
  <c r="E36" i="15"/>
  <c r="E16" i="15"/>
  <c r="E78" i="15"/>
  <c r="E35" i="15"/>
  <c r="E62" i="15"/>
  <c r="E19" i="15"/>
  <c r="E76" i="15"/>
  <c r="E33" i="15"/>
  <c r="E59" i="15"/>
  <c r="E17" i="15"/>
  <c r="E13" i="15"/>
  <c r="E15" i="15"/>
  <c r="E40" i="15"/>
  <c r="E42" i="15"/>
  <c r="E58" i="15"/>
  <c r="E56" i="15"/>
  <c r="E9" i="8"/>
  <c r="E151" i="1"/>
  <c r="F34" i="2"/>
  <c r="J20" i="5"/>
  <c r="I50" i="8"/>
  <c r="I115" i="8"/>
  <c r="J9" i="5"/>
  <c r="J172" i="8"/>
  <c r="J286" i="5"/>
  <c r="G18" i="11"/>
  <c r="G32" i="11"/>
  <c r="J14" i="3"/>
  <c r="M71" i="2"/>
  <c r="M11" i="5"/>
  <c r="N11" i="5" s="1"/>
  <c r="I88" i="5"/>
  <c r="P4" i="2"/>
  <c r="P74" i="2"/>
  <c r="P60" i="2"/>
  <c r="Q2" i="2"/>
  <c r="P3" i="2"/>
  <c r="F94" i="5"/>
  <c r="F124" i="5"/>
  <c r="G33" i="11"/>
  <c r="F47" i="2"/>
  <c r="E17" i="8"/>
  <c r="D186" i="1"/>
  <c r="D79" i="8"/>
  <c r="K17" i="5"/>
  <c r="L17" i="5" s="1"/>
  <c r="G95" i="8"/>
  <c r="E153" i="1"/>
  <c r="F36" i="2"/>
  <c r="E11" i="8"/>
  <c r="E75" i="8"/>
  <c r="E158" i="8" s="1"/>
  <c r="E177" i="1"/>
  <c r="F36" i="11"/>
  <c r="I15" i="5"/>
  <c r="J15" i="5" s="1"/>
  <c r="H136" i="8"/>
  <c r="H242" i="5"/>
  <c r="H288" i="5"/>
  <c r="H117" i="8"/>
  <c r="H179" i="5"/>
  <c r="H256" i="5"/>
  <c r="G11" i="10" s="1"/>
  <c r="G12" i="10" s="1"/>
  <c r="G14" i="10" s="1"/>
  <c r="L16" i="5"/>
  <c r="M16" i="5" s="1"/>
  <c r="B130" i="8"/>
  <c r="B34" i="11"/>
  <c r="B35" i="11" s="1"/>
  <c r="K90" i="8"/>
  <c r="K183" i="1"/>
  <c r="I6" i="11"/>
  <c r="H7" i="11"/>
  <c r="F116" i="8"/>
  <c r="F38" i="5"/>
  <c r="F39" i="5" s="1"/>
  <c r="G37" i="5" s="1"/>
  <c r="I56" i="8"/>
  <c r="J25" i="5"/>
  <c r="I134" i="8"/>
  <c r="D16" i="8"/>
  <c r="D163" i="1"/>
  <c r="E46" i="2"/>
  <c r="C15" i="11"/>
  <c r="C21" i="11"/>
  <c r="C23" i="11" s="1"/>
  <c r="C25" i="11" s="1"/>
  <c r="C28" i="11" s="1"/>
  <c r="H25" i="8"/>
  <c r="H31" i="8" s="1"/>
  <c r="H95" i="8"/>
  <c r="H170" i="8"/>
  <c r="H89" i="8"/>
  <c r="H284" i="5"/>
  <c r="K53" i="8"/>
  <c r="R66" i="5"/>
  <c r="S64" i="5" s="1"/>
  <c r="S65" i="5" s="1"/>
  <c r="S62" i="5"/>
  <c r="J45" i="5"/>
  <c r="K43" i="5" s="1"/>
  <c r="K44" i="5" s="1"/>
  <c r="J82" i="5"/>
  <c r="K41" i="5"/>
  <c r="B149" i="8"/>
  <c r="B37" i="11"/>
  <c r="B38" i="11" s="1"/>
  <c r="E142" i="8"/>
  <c r="G76" i="5"/>
  <c r="H35" i="5"/>
  <c r="M10" i="5"/>
  <c r="N10" i="5" s="1"/>
  <c r="O140" i="8"/>
  <c r="G74" i="5"/>
  <c r="H31" i="5"/>
  <c r="G120" i="8"/>
  <c r="G123" i="8" s="1"/>
  <c r="F99" i="1"/>
  <c r="F179" i="1" s="1"/>
  <c r="C21" i="12"/>
  <c r="F60" i="8"/>
  <c r="G90" i="5"/>
  <c r="G91" i="5" s="1"/>
  <c r="G92" i="5" s="1"/>
  <c r="F299" i="5"/>
  <c r="E175" i="1"/>
  <c r="E73" i="8"/>
  <c r="L22" i="5"/>
  <c r="M22" i="5" s="1"/>
  <c r="I158" i="1"/>
  <c r="K41" i="2" s="1"/>
  <c r="J157" i="1"/>
  <c r="K40" i="2"/>
  <c r="G177" i="8"/>
  <c r="D158" i="8"/>
  <c r="G57" i="8"/>
  <c r="E176" i="1"/>
  <c r="E74" i="8"/>
  <c r="L42" i="2"/>
  <c r="K26" i="8"/>
  <c r="K159" i="1"/>
  <c r="D162" i="1"/>
  <c r="D15" i="8"/>
  <c r="E45" i="2"/>
  <c r="L23" i="5"/>
  <c r="M23" i="5" s="1"/>
  <c r="K51" i="2"/>
  <c r="J28" i="8"/>
  <c r="J29" i="8" s="1"/>
  <c r="I169" i="1"/>
  <c r="K52" i="2" s="1"/>
  <c r="J168" i="1"/>
  <c r="C20" i="11"/>
  <c r="C22" i="11" s="1"/>
  <c r="C24" i="11" s="1"/>
  <c r="C27" i="11" s="1"/>
  <c r="J14" i="5"/>
  <c r="K14" i="5" s="1"/>
  <c r="D82" i="8"/>
  <c r="D189" i="1"/>
  <c r="B6" i="14"/>
  <c r="D114" i="8"/>
  <c r="D129" i="8" s="1"/>
  <c r="D9" i="11" s="1"/>
  <c r="I93" i="8"/>
  <c r="I175" i="8" s="1"/>
  <c r="I174" i="8"/>
  <c r="D79" i="5"/>
  <c r="D80" i="5" s="1"/>
  <c r="D289" i="5"/>
  <c r="D11" i="9" s="1"/>
  <c r="D33" i="9"/>
  <c r="D83" i="8"/>
  <c r="D190" i="1"/>
  <c r="L8" i="12"/>
  <c r="M69" i="2"/>
  <c r="J12" i="3"/>
  <c r="O9" i="2"/>
  <c r="O13" i="2"/>
  <c r="O14" i="2"/>
  <c r="O7" i="2"/>
  <c r="O8" i="2"/>
  <c r="O12" i="2"/>
  <c r="G103" i="1"/>
  <c r="H95" i="1"/>
  <c r="H8" i="11"/>
  <c r="H51" i="8"/>
  <c r="I7" i="2"/>
  <c r="G96" i="1"/>
  <c r="G104" i="1"/>
  <c r="E160" i="8"/>
  <c r="G77" i="8" l="1"/>
  <c r="J84" i="5"/>
  <c r="J85" i="5" s="1"/>
  <c r="J86" i="5" s="1"/>
  <c r="I298" i="5"/>
  <c r="F17" i="8"/>
  <c r="G47" i="2"/>
  <c r="D281" i="5"/>
  <c r="D165" i="8"/>
  <c r="K168" i="1"/>
  <c r="L51" i="2"/>
  <c r="J169" i="1"/>
  <c r="L52" i="2" s="1"/>
  <c r="K28" i="8"/>
  <c r="K29" i="8" s="1"/>
  <c r="N23" i="5"/>
  <c r="O23" i="5" s="1"/>
  <c r="E279" i="5"/>
  <c r="E157" i="8"/>
  <c r="I31" i="5"/>
  <c r="H74" i="5"/>
  <c r="I35" i="5"/>
  <c r="H76" i="5"/>
  <c r="L53" i="8"/>
  <c r="I7" i="11"/>
  <c r="J6" i="11"/>
  <c r="E79" i="8"/>
  <c r="E186" i="1"/>
  <c r="F189" i="5"/>
  <c r="F239" i="5"/>
  <c r="F12" i="12"/>
  <c r="E64" i="8"/>
  <c r="I136" i="8"/>
  <c r="I256" i="5"/>
  <c r="H11" i="10" s="1"/>
  <c r="H12" i="10" s="1"/>
  <c r="H14" i="10" s="1"/>
  <c r="I117" i="8"/>
  <c r="I179" i="5"/>
  <c r="I288" i="5"/>
  <c r="I242" i="5"/>
  <c r="F13" i="8"/>
  <c r="F160" i="8" s="1"/>
  <c r="F155" i="1"/>
  <c r="G38" i="2"/>
  <c r="H121" i="1"/>
  <c r="I57" i="8"/>
  <c r="H120" i="1"/>
  <c r="J11" i="2"/>
  <c r="K11" i="2" s="1"/>
  <c r="L11" i="2" s="1"/>
  <c r="M11" i="2" s="1"/>
  <c r="N11" i="2" s="1"/>
  <c r="O11" i="2" s="1"/>
  <c r="P11" i="2" s="1"/>
  <c r="Q11" i="2" s="1"/>
  <c r="R11" i="2" s="1"/>
  <c r="S11" i="2" s="1"/>
  <c r="T11" i="2" s="1"/>
  <c r="U11" i="2" s="1"/>
  <c r="V11" i="2" s="1"/>
  <c r="W11" i="2" s="1"/>
  <c r="X11" i="2" s="1"/>
  <c r="Y11" i="2" s="1"/>
  <c r="Z11" i="2" s="1"/>
  <c r="AA11" i="2" s="1"/>
  <c r="AB11" i="2" s="1"/>
  <c r="AC11" i="2" s="1"/>
  <c r="AD11" i="2" s="1"/>
  <c r="AE11" i="2" s="1"/>
  <c r="AF11" i="2" s="1"/>
  <c r="AG11" i="2" s="1"/>
  <c r="AH11" i="2" s="1"/>
  <c r="AI11" i="2" s="1"/>
  <c r="AJ11" i="2" s="1"/>
  <c r="AK11" i="2" s="1"/>
  <c r="G36" i="11"/>
  <c r="J59" i="8"/>
  <c r="F178" i="1"/>
  <c r="F76" i="8"/>
  <c r="I182" i="1"/>
  <c r="J88" i="8"/>
  <c r="J181" i="1"/>
  <c r="O30" i="8"/>
  <c r="P53" i="2"/>
  <c r="O170" i="1"/>
  <c r="N75" i="2"/>
  <c r="N76" i="2"/>
  <c r="F142" i="8"/>
  <c r="H71" i="5"/>
  <c r="H72" i="5" s="1"/>
  <c r="I70" i="5" s="1"/>
  <c r="H135" i="8"/>
  <c r="H54" i="8"/>
  <c r="D10" i="11"/>
  <c r="L14" i="5"/>
  <c r="M42" i="2"/>
  <c r="L159" i="1"/>
  <c r="L26" i="8"/>
  <c r="F176" i="1"/>
  <c r="F74" i="8"/>
  <c r="N22" i="5"/>
  <c r="O22" i="5" s="1"/>
  <c r="G299" i="5"/>
  <c r="H90" i="5"/>
  <c r="H91" i="5" s="1"/>
  <c r="H92" i="5" s="1"/>
  <c r="D73" i="15"/>
  <c r="D70" i="15"/>
  <c r="D64" i="15"/>
  <c r="D47" i="15"/>
  <c r="D44" i="15"/>
  <c r="D27" i="15"/>
  <c r="D21" i="15"/>
  <c r="D74" i="15"/>
  <c r="D71" i="15"/>
  <c r="D54" i="15"/>
  <c r="D48" i="15"/>
  <c r="D31" i="15"/>
  <c r="D28" i="15"/>
  <c r="D22" i="15"/>
  <c r="D75" i="15"/>
  <c r="D59" i="15"/>
  <c r="D46" i="15"/>
  <c r="D32" i="15"/>
  <c r="D17" i="15"/>
  <c r="D16" i="15"/>
  <c r="D60" i="15"/>
  <c r="D58" i="15"/>
  <c r="D43" i="15"/>
  <c r="D30" i="15"/>
  <c r="D15" i="15"/>
  <c r="D72" i="15"/>
  <c r="D57" i="15"/>
  <c r="D42" i="15"/>
  <c r="D29" i="15"/>
  <c r="D14" i="15"/>
  <c r="D69" i="15"/>
  <c r="D56" i="15"/>
  <c r="D41" i="15"/>
  <c r="D26" i="15"/>
  <c r="D13" i="15"/>
  <c r="D62" i="15"/>
  <c r="D34" i="15"/>
  <c r="D76" i="15"/>
  <c r="D45" i="15"/>
  <c r="D18" i="15"/>
  <c r="D55" i="15"/>
  <c r="D36" i="15"/>
  <c r="D78" i="15"/>
  <c r="D50" i="15"/>
  <c r="D20" i="15"/>
  <c r="D49" i="15"/>
  <c r="D61" i="15"/>
  <c r="D68" i="15"/>
  <c r="D12" i="15"/>
  <c r="D35" i="15"/>
  <c r="D40" i="15"/>
  <c r="D19" i="15"/>
  <c r="D63" i="15"/>
  <c r="D33" i="15"/>
  <c r="D77" i="15"/>
  <c r="G94" i="5"/>
  <c r="G124" i="5"/>
  <c r="T62" i="5"/>
  <c r="S66" i="5"/>
  <c r="T64" i="5" s="1"/>
  <c r="T65" i="5" s="1"/>
  <c r="H283" i="5"/>
  <c r="K25" i="5"/>
  <c r="G116" i="8"/>
  <c r="G38" i="5"/>
  <c r="G39" i="5" s="1"/>
  <c r="H37" i="5" s="1"/>
  <c r="L183" i="1"/>
  <c r="L90" i="8"/>
  <c r="M17" i="5"/>
  <c r="N17" i="5" s="1"/>
  <c r="J18" i="5"/>
  <c r="K9" i="5"/>
  <c r="J115" i="8"/>
  <c r="K20" i="5"/>
  <c r="J50" i="8"/>
  <c r="J259" i="5"/>
  <c r="J257" i="5"/>
  <c r="H60" i="8"/>
  <c r="J141" i="8"/>
  <c r="I66" i="15"/>
  <c r="I52" i="15"/>
  <c r="L28" i="5"/>
  <c r="M28" i="5" s="1"/>
  <c r="K192" i="1"/>
  <c r="J193" i="1"/>
  <c r="E80" i="8"/>
  <c r="E163" i="8" s="1"/>
  <c r="E187" i="1"/>
  <c r="F48" i="2"/>
  <c r="E165" i="1"/>
  <c r="E18" i="8"/>
  <c r="E20" i="8" s="1"/>
  <c r="E32" i="8" s="1"/>
  <c r="D38" i="8"/>
  <c r="D37" i="8"/>
  <c r="D36" i="8"/>
  <c r="K68" i="5"/>
  <c r="H33" i="11"/>
  <c r="E190" i="1"/>
  <c r="E83" i="8"/>
  <c r="D297" i="5"/>
  <c r="D296" i="5" s="1"/>
  <c r="E78" i="5"/>
  <c r="D67" i="8"/>
  <c r="G60" i="8"/>
  <c r="K157" i="1"/>
  <c r="L40" i="2"/>
  <c r="J158" i="1"/>
  <c r="L41" i="2" s="1"/>
  <c r="E156" i="8"/>
  <c r="E114" i="8"/>
  <c r="E129" i="8" s="1"/>
  <c r="E278" i="5"/>
  <c r="K45" i="5"/>
  <c r="L43" i="5" s="1"/>
  <c r="L44" i="5" s="1"/>
  <c r="L41" i="5"/>
  <c r="K82" i="5"/>
  <c r="H285" i="5"/>
  <c r="H171" i="8"/>
  <c r="F46" i="2"/>
  <c r="E16" i="8"/>
  <c r="E163" i="1"/>
  <c r="K286" i="5"/>
  <c r="K172" i="8"/>
  <c r="N16" i="5"/>
  <c r="O16" i="5" s="1"/>
  <c r="P8" i="2"/>
  <c r="P14" i="2"/>
  <c r="P7" i="2"/>
  <c r="P9" i="2"/>
  <c r="P13" i="2"/>
  <c r="P12" i="2"/>
  <c r="K14" i="3"/>
  <c r="N71" i="2"/>
  <c r="I18" i="5"/>
  <c r="G117" i="1"/>
  <c r="I12" i="2"/>
  <c r="H11" i="11"/>
  <c r="G110" i="1"/>
  <c r="H109" i="1"/>
  <c r="G118" i="1"/>
  <c r="G119" i="1"/>
  <c r="P58" i="8"/>
  <c r="J10" i="15"/>
  <c r="J24" i="15" s="1"/>
  <c r="J38" i="15" s="1"/>
  <c r="I53" i="5"/>
  <c r="J6" i="5"/>
  <c r="J13" i="13"/>
  <c r="J38" i="13" s="1"/>
  <c r="J63" i="13" s="1"/>
  <c r="J88" i="13" s="1"/>
  <c r="I5" i="12"/>
  <c r="J174" i="8"/>
  <c r="J93" i="8"/>
  <c r="J175" i="8" s="1"/>
  <c r="F49" i="2"/>
  <c r="E19" i="8"/>
  <c r="E166" i="1"/>
  <c r="J52" i="8"/>
  <c r="D163" i="8"/>
  <c r="D279" i="5"/>
  <c r="L94" i="8"/>
  <c r="L176" i="8" s="1"/>
  <c r="L194" i="1"/>
  <c r="D20" i="8"/>
  <c r="D32" i="8" s="1"/>
  <c r="G37" i="2"/>
  <c r="F154" i="1"/>
  <c r="F12" i="8"/>
  <c r="G99" i="1"/>
  <c r="G179" i="1" s="1"/>
  <c r="H120" i="8"/>
  <c r="H123" i="8" s="1"/>
  <c r="H96" i="1"/>
  <c r="H104" i="1"/>
  <c r="J7" i="2"/>
  <c r="I51" i="8"/>
  <c r="I8" i="11"/>
  <c r="H103" i="1"/>
  <c r="K12" i="3"/>
  <c r="M8" i="12"/>
  <c r="N69" i="2"/>
  <c r="D166" i="8"/>
  <c r="D282" i="5"/>
  <c r="E82" i="8"/>
  <c r="E189" i="1"/>
  <c r="C130" i="8"/>
  <c r="C34" i="11"/>
  <c r="C35" i="11" s="1"/>
  <c r="C39" i="11" s="1"/>
  <c r="C40" i="11" s="1"/>
  <c r="E15" i="8"/>
  <c r="F45" i="2"/>
  <c r="E162" i="1"/>
  <c r="J24" i="8"/>
  <c r="F73" i="8"/>
  <c r="F175" i="1"/>
  <c r="P140" i="8"/>
  <c r="H177" i="8"/>
  <c r="C149" i="8"/>
  <c r="C37" i="11"/>
  <c r="C38" i="11" s="1"/>
  <c r="N21" i="5"/>
  <c r="O21" i="5" s="1"/>
  <c r="H18" i="11"/>
  <c r="H32" i="11"/>
  <c r="B39" i="11"/>
  <c r="B40" i="11" s="1"/>
  <c r="J26" i="5"/>
  <c r="K26" i="5" s="1"/>
  <c r="F177" i="1"/>
  <c r="F75" i="8"/>
  <c r="F153" i="1"/>
  <c r="G36" i="2"/>
  <c r="F11" i="8"/>
  <c r="D162" i="8"/>
  <c r="D278" i="5"/>
  <c r="Q74" i="2"/>
  <c r="Q60" i="2"/>
  <c r="R2" i="2"/>
  <c r="Q4" i="2"/>
  <c r="Q3" i="2"/>
  <c r="F9" i="8"/>
  <c r="F151" i="1"/>
  <c r="G34" i="2"/>
  <c r="G139" i="8"/>
  <c r="F113" i="1"/>
  <c r="F164" i="1" s="1"/>
  <c r="M12" i="5"/>
  <c r="N12" i="5" s="1"/>
  <c r="L56" i="5"/>
  <c r="J59" i="5"/>
  <c r="J60" i="5" s="1"/>
  <c r="K58" i="5" s="1"/>
  <c r="L47" i="5"/>
  <c r="K88" i="5"/>
  <c r="K51" i="5"/>
  <c r="L49" i="5" s="1"/>
  <c r="L50" i="5" s="1"/>
  <c r="I284" i="5"/>
  <c r="I89" i="8"/>
  <c r="I170" i="8"/>
  <c r="F10" i="8"/>
  <c r="F152" i="1"/>
  <c r="G35" i="2"/>
  <c r="K70" i="8"/>
  <c r="L6" i="8"/>
  <c r="G17" i="8" l="1"/>
  <c r="H47" i="2"/>
  <c r="H77" i="8"/>
  <c r="J298" i="5"/>
  <c r="K84" i="5"/>
  <c r="K85" i="5" s="1"/>
  <c r="K86" i="5" s="1"/>
  <c r="I177" i="8"/>
  <c r="K59" i="5"/>
  <c r="K60" i="5" s="1"/>
  <c r="L58" i="5" s="1"/>
  <c r="F64" i="8"/>
  <c r="R4" i="2"/>
  <c r="R3" i="2"/>
  <c r="R74" i="2"/>
  <c r="S2" i="2"/>
  <c r="R60" i="2"/>
  <c r="G177" i="1"/>
  <c r="G75" i="8"/>
  <c r="C106" i="8"/>
  <c r="C273" i="5" s="1"/>
  <c r="C107" i="8"/>
  <c r="C274" i="5" s="1"/>
  <c r="C105" i="8"/>
  <c r="Q140" i="8"/>
  <c r="J25" i="8"/>
  <c r="J31" i="8"/>
  <c r="N8" i="12"/>
  <c r="O69" i="2"/>
  <c r="L12" i="3"/>
  <c r="J66" i="15"/>
  <c r="J52" i="15"/>
  <c r="L45" i="5"/>
  <c r="M43" i="5" s="1"/>
  <c r="M44" i="5" s="1"/>
  <c r="M41" i="5"/>
  <c r="L82" i="5"/>
  <c r="E166" i="8"/>
  <c r="E282" i="5"/>
  <c r="F80" i="8"/>
  <c r="F163" i="8" s="1"/>
  <c r="F187" i="1"/>
  <c r="K92" i="8"/>
  <c r="J288" i="5"/>
  <c r="J136" i="8"/>
  <c r="J179" i="5"/>
  <c r="J256" i="5"/>
  <c r="I11" i="10" s="1"/>
  <c r="I12" i="10" s="1"/>
  <c r="I14" i="10" s="1"/>
  <c r="J242" i="5"/>
  <c r="J117" i="8"/>
  <c r="G189" i="5"/>
  <c r="G12" i="12"/>
  <c r="G239" i="5"/>
  <c r="I90" i="5"/>
  <c r="I91" i="5" s="1"/>
  <c r="I92" i="5" s="1"/>
  <c r="H299" i="5"/>
  <c r="G74" i="8"/>
  <c r="G176" i="1"/>
  <c r="M14" i="5"/>
  <c r="Q53" i="2"/>
  <c r="P170" i="1"/>
  <c r="P30" i="8"/>
  <c r="J284" i="5"/>
  <c r="J170" i="8"/>
  <c r="J89" i="8"/>
  <c r="I60" i="8"/>
  <c r="J57" i="8"/>
  <c r="E38" i="8"/>
  <c r="E37" i="8"/>
  <c r="E36" i="8"/>
  <c r="F79" i="8"/>
  <c r="F186" i="1"/>
  <c r="I285" i="5"/>
  <c r="I171" i="8"/>
  <c r="G142" i="8"/>
  <c r="L26" i="5"/>
  <c r="M26" i="5" s="1"/>
  <c r="F15" i="8"/>
  <c r="F162" i="1"/>
  <c r="G45" i="2"/>
  <c r="C100" i="8"/>
  <c r="C102" i="8"/>
  <c r="C269" i="5" s="1"/>
  <c r="C101" i="8"/>
  <c r="C268" i="5" s="1"/>
  <c r="M194" i="1"/>
  <c r="M94" i="8"/>
  <c r="M176" i="8" s="1"/>
  <c r="H117" i="1"/>
  <c r="H118" i="1"/>
  <c r="H119" i="1"/>
  <c r="J12" i="2"/>
  <c r="K12" i="2" s="1"/>
  <c r="L12" i="2" s="1"/>
  <c r="I11" i="11"/>
  <c r="H110" i="1"/>
  <c r="K15" i="5"/>
  <c r="L15" i="5" s="1"/>
  <c r="E7" i="12"/>
  <c r="E9" i="11"/>
  <c r="K24" i="8"/>
  <c r="D42" i="8"/>
  <c r="D43" i="8"/>
  <c r="D41" i="8"/>
  <c r="D44" i="8" s="1"/>
  <c r="F190" i="1"/>
  <c r="F83" i="8"/>
  <c r="L68" i="5"/>
  <c r="N28" i="5"/>
  <c r="O28" i="5" s="1"/>
  <c r="K141" i="8"/>
  <c r="K259" i="5"/>
  <c r="K257" i="5"/>
  <c r="L9" i="5"/>
  <c r="K18" i="5"/>
  <c r="L286" i="5"/>
  <c r="L172" i="8"/>
  <c r="J134" i="8"/>
  <c r="E162" i="8"/>
  <c r="M53" i="8"/>
  <c r="H94" i="5"/>
  <c r="H124" i="5"/>
  <c r="L168" i="1"/>
  <c r="M51" i="2"/>
  <c r="K169" i="1"/>
  <c r="M52" i="2" s="1"/>
  <c r="L28" i="8"/>
  <c r="L29" i="8" s="1"/>
  <c r="G152" i="1"/>
  <c r="G10" i="8"/>
  <c r="H35" i="2"/>
  <c r="I95" i="8"/>
  <c r="L88" i="5"/>
  <c r="M47" i="5"/>
  <c r="L51" i="5"/>
  <c r="M49" i="5" s="1"/>
  <c r="M50" i="5" s="1"/>
  <c r="M56" i="5"/>
  <c r="Q8" i="2"/>
  <c r="Q9" i="2"/>
  <c r="Q13" i="2"/>
  <c r="Q14" i="2"/>
  <c r="Q7" i="2"/>
  <c r="Q12" i="2"/>
  <c r="H36" i="2"/>
  <c r="G11" i="8"/>
  <c r="G153" i="1"/>
  <c r="P21" i="5"/>
  <c r="Q21" i="5" s="1"/>
  <c r="G73" i="8"/>
  <c r="G175" i="1"/>
  <c r="F189" i="1"/>
  <c r="F82" i="8"/>
  <c r="I33" i="11"/>
  <c r="J8" i="11"/>
  <c r="H99" i="1"/>
  <c r="H179" i="1" s="1"/>
  <c r="I120" i="8"/>
  <c r="G12" i="8"/>
  <c r="G154" i="1"/>
  <c r="H37" i="2"/>
  <c r="K52" i="8"/>
  <c r="J5" i="12"/>
  <c r="K10" i="15"/>
  <c r="K24" i="15" s="1"/>
  <c r="K38" i="15" s="1"/>
  <c r="J53" i="5"/>
  <c r="K13" i="13"/>
  <c r="K38" i="13" s="1"/>
  <c r="K63" i="13" s="1"/>
  <c r="K88" i="13" s="1"/>
  <c r="K6" i="5"/>
  <c r="Q58" i="8"/>
  <c r="G113" i="1"/>
  <c r="B188" i="1" s="1"/>
  <c r="H139" i="8"/>
  <c r="L14" i="3"/>
  <c r="O71" i="2"/>
  <c r="F16" i="8"/>
  <c r="F163" i="1"/>
  <c r="G46" i="2"/>
  <c r="O10" i="5"/>
  <c r="P10" i="5" s="1"/>
  <c r="L157" i="1"/>
  <c r="L24" i="8"/>
  <c r="M40" i="2"/>
  <c r="K158" i="1"/>
  <c r="M41" i="2" s="1"/>
  <c r="E79" i="5"/>
  <c r="E80" i="5" s="1"/>
  <c r="E289" i="5"/>
  <c r="E11" i="9" s="1"/>
  <c r="E33" i="9"/>
  <c r="D39" i="8"/>
  <c r="G48" i="2"/>
  <c r="F165" i="1"/>
  <c r="F18" i="8"/>
  <c r="M90" i="8"/>
  <c r="M183" i="1"/>
  <c r="J56" i="8"/>
  <c r="T66" i="5"/>
  <c r="U64" i="5" s="1"/>
  <c r="U65" i="5" s="1"/>
  <c r="U62" i="5"/>
  <c r="P22" i="5"/>
  <c r="Q22" i="5" s="1"/>
  <c r="M159" i="1"/>
  <c r="M26" i="8"/>
  <c r="N42" i="2"/>
  <c r="I71" i="5"/>
  <c r="I72" i="5" s="1"/>
  <c r="J70" i="5" s="1"/>
  <c r="I135" i="8"/>
  <c r="O75" i="2"/>
  <c r="O76" i="2"/>
  <c r="F159" i="8"/>
  <c r="J7" i="11"/>
  <c r="K6" i="11"/>
  <c r="J31" i="5"/>
  <c r="I74" i="5"/>
  <c r="M6" i="8"/>
  <c r="L70" i="8"/>
  <c r="I283" i="5"/>
  <c r="O12" i="5"/>
  <c r="P12" i="5" s="1"/>
  <c r="H34" i="2"/>
  <c r="G9" i="8"/>
  <c r="G151" i="1"/>
  <c r="F158" i="8"/>
  <c r="F156" i="8"/>
  <c r="F114" i="8"/>
  <c r="F129" i="8" s="1"/>
  <c r="E67" i="8"/>
  <c r="E165" i="8"/>
  <c r="E281" i="5"/>
  <c r="J51" i="8"/>
  <c r="I54" i="8"/>
  <c r="F19" i="8"/>
  <c r="F166" i="1"/>
  <c r="G49" i="2"/>
  <c r="H36" i="11"/>
  <c r="K193" i="1"/>
  <c r="L92" i="8"/>
  <c r="L192" i="1"/>
  <c r="K115" i="8"/>
  <c r="K50" i="8"/>
  <c r="L20" i="5"/>
  <c r="H38" i="5"/>
  <c r="H39" i="5" s="1"/>
  <c r="I37" i="5" s="1"/>
  <c r="H116" i="8"/>
  <c r="L25" i="5"/>
  <c r="K134" i="8"/>
  <c r="K56" i="8"/>
  <c r="F157" i="8"/>
  <c r="O27" i="5"/>
  <c r="P27" i="5" s="1"/>
  <c r="J182" i="1"/>
  <c r="K88" i="8"/>
  <c r="K181" i="1"/>
  <c r="G178" i="1"/>
  <c r="G76" i="8"/>
  <c r="G159" i="8" s="1"/>
  <c r="K59" i="8"/>
  <c r="H38" i="2"/>
  <c r="G13" i="8"/>
  <c r="G160" i="8" s="1"/>
  <c r="G155" i="1"/>
  <c r="O11" i="5"/>
  <c r="P11" i="5" s="1"/>
  <c r="I32" i="11"/>
  <c r="I18" i="11"/>
  <c r="I76" i="5"/>
  <c r="J35" i="5"/>
  <c r="I179" i="1" l="1"/>
  <c r="I77" i="8"/>
  <c r="K298" i="5"/>
  <c r="L84" i="5"/>
  <c r="L85" i="5" s="1"/>
  <c r="I38" i="2"/>
  <c r="H13" i="8"/>
  <c r="H155" i="1"/>
  <c r="L59" i="8"/>
  <c r="K284" i="5"/>
  <c r="K170" i="8"/>
  <c r="K89" i="8"/>
  <c r="M20" i="5"/>
  <c r="L50" i="8"/>
  <c r="L115" i="8"/>
  <c r="L93" i="8"/>
  <c r="L175" i="8" s="1"/>
  <c r="L174" i="8"/>
  <c r="H9" i="8"/>
  <c r="H151" i="1"/>
  <c r="I34" i="2"/>
  <c r="K31" i="5"/>
  <c r="J74" i="5"/>
  <c r="J71" i="5"/>
  <c r="J72" i="5" s="1"/>
  <c r="K70" i="5" s="1"/>
  <c r="J135" i="8"/>
  <c r="R22" i="5"/>
  <c r="S22" i="5" s="1"/>
  <c r="N90" i="8"/>
  <c r="N183" i="1"/>
  <c r="L52" i="8"/>
  <c r="I123" i="8"/>
  <c r="J120" i="8"/>
  <c r="G114" i="8"/>
  <c r="G129" i="8" s="1"/>
  <c r="G156" i="8"/>
  <c r="H152" i="1"/>
  <c r="I35" i="2"/>
  <c r="H10" i="8"/>
  <c r="H12" i="12"/>
  <c r="H189" i="5"/>
  <c r="H239" i="5"/>
  <c r="K256" i="5"/>
  <c r="J11" i="10" s="1"/>
  <c r="J12" i="10" s="1"/>
  <c r="J14" i="10" s="1"/>
  <c r="K288" i="5"/>
  <c r="K242" i="5"/>
  <c r="K136" i="8"/>
  <c r="K117" i="8"/>
  <c r="K179" i="5"/>
  <c r="G83" i="8"/>
  <c r="G190" i="1"/>
  <c r="K25" i="8"/>
  <c r="K31" i="8" s="1"/>
  <c r="I139" i="8"/>
  <c r="H113" i="1"/>
  <c r="H45" i="2"/>
  <c r="G15" i="8"/>
  <c r="G162" i="1"/>
  <c r="N26" i="5"/>
  <c r="O26" i="5" s="1"/>
  <c r="F162" i="8"/>
  <c r="J285" i="5"/>
  <c r="J171" i="8"/>
  <c r="J177" i="8" s="1"/>
  <c r="N14" i="5"/>
  <c r="I299" i="5"/>
  <c r="J90" i="5"/>
  <c r="J91" i="5" s="1"/>
  <c r="J92" i="5" s="1"/>
  <c r="G187" i="1"/>
  <c r="G80" i="8"/>
  <c r="G163" i="8" s="1"/>
  <c r="R140" i="8"/>
  <c r="S74" i="2"/>
  <c r="T2" i="2"/>
  <c r="S4" i="2"/>
  <c r="S60" i="2"/>
  <c r="S3" i="2"/>
  <c r="F38" i="8"/>
  <c r="F37" i="8"/>
  <c r="F36" i="8"/>
  <c r="H160" i="8"/>
  <c r="K35" i="5"/>
  <c r="J76" i="5"/>
  <c r="L56" i="8"/>
  <c r="M25" i="5"/>
  <c r="L134" i="8"/>
  <c r="F278" i="5"/>
  <c r="G64" i="8"/>
  <c r="U66" i="5"/>
  <c r="V64" i="5" s="1"/>
  <c r="V65" i="5" s="1"/>
  <c r="V62" i="5"/>
  <c r="M172" i="8"/>
  <c r="M286" i="5"/>
  <c r="G18" i="8"/>
  <c r="G165" i="1"/>
  <c r="H48" i="2"/>
  <c r="L31" i="8"/>
  <c r="L25" i="8"/>
  <c r="G16" i="8"/>
  <c r="G163" i="1"/>
  <c r="H46" i="2"/>
  <c r="M14" i="3"/>
  <c r="P71" i="2"/>
  <c r="R58" i="8"/>
  <c r="K66" i="15"/>
  <c r="K52" i="15"/>
  <c r="F165" i="8"/>
  <c r="F281" i="5"/>
  <c r="N56" i="5"/>
  <c r="L257" i="5"/>
  <c r="L259" i="5"/>
  <c r="E10" i="11"/>
  <c r="J11" i="11"/>
  <c r="I36" i="11"/>
  <c r="F67" i="8"/>
  <c r="Q30" i="8"/>
  <c r="Q170" i="1"/>
  <c r="R53" i="2"/>
  <c r="H74" i="8"/>
  <c r="H176" i="1"/>
  <c r="L86" i="5"/>
  <c r="C272" i="5"/>
  <c r="C108" i="8"/>
  <c r="G158" i="8"/>
  <c r="F20" i="8"/>
  <c r="F32" i="8" s="1"/>
  <c r="H76" i="8"/>
  <c r="H178" i="1"/>
  <c r="E42" i="8"/>
  <c r="E43" i="8"/>
  <c r="E41" i="8"/>
  <c r="E44" i="8" s="1"/>
  <c r="M70" i="8"/>
  <c r="N6" i="8"/>
  <c r="L6" i="11"/>
  <c r="K7" i="11"/>
  <c r="P76" i="2"/>
  <c r="P75" i="2"/>
  <c r="E297" i="5"/>
  <c r="E296" i="5" s="1"/>
  <c r="F78" i="5"/>
  <c r="M157" i="1"/>
  <c r="N40" i="2"/>
  <c r="L158" i="1"/>
  <c r="N41" i="2" s="1"/>
  <c r="H142" i="8"/>
  <c r="L13" i="13"/>
  <c r="L38" i="13" s="1"/>
  <c r="L63" i="13" s="1"/>
  <c r="L88" i="13" s="1"/>
  <c r="K53" i="5"/>
  <c r="L10" i="15"/>
  <c r="L24" i="15" s="1"/>
  <c r="L38" i="15" s="1"/>
  <c r="K5" i="12"/>
  <c r="L6" i="5"/>
  <c r="H12" i="8"/>
  <c r="H154" i="1"/>
  <c r="I37" i="2"/>
  <c r="K8" i="11"/>
  <c r="J33" i="11"/>
  <c r="G189" i="1"/>
  <c r="G82" i="8"/>
  <c r="M28" i="8"/>
  <c r="M29" i="8" s="1"/>
  <c r="L169" i="1"/>
  <c r="N52" i="2" s="1"/>
  <c r="N51" i="2"/>
  <c r="M168" i="1"/>
  <c r="N53" i="8"/>
  <c r="M68" i="5"/>
  <c r="E10" i="12"/>
  <c r="C267" i="5"/>
  <c r="C103" i="8"/>
  <c r="E39" i="8"/>
  <c r="E45" i="8" s="1"/>
  <c r="E46" i="8" s="1"/>
  <c r="J60" i="8"/>
  <c r="K57" i="8"/>
  <c r="J95" i="8"/>
  <c r="G157" i="8"/>
  <c r="M45" i="5"/>
  <c r="N43" i="5" s="1"/>
  <c r="N44" i="5" s="1"/>
  <c r="M82" i="5"/>
  <c r="N41" i="5"/>
  <c r="O8" i="12"/>
  <c r="P69" i="2"/>
  <c r="M12" i="3"/>
  <c r="H75" i="8"/>
  <c r="H158" i="8" s="1"/>
  <c r="H177" i="1"/>
  <c r="R14" i="2"/>
  <c r="R13" i="2"/>
  <c r="R9" i="2"/>
  <c r="R7" i="2"/>
  <c r="R8" i="2"/>
  <c r="R12" i="2"/>
  <c r="Q11" i="5"/>
  <c r="R11" i="5" s="1"/>
  <c r="L181" i="1"/>
  <c r="L88" i="8"/>
  <c r="K182" i="1"/>
  <c r="F279" i="5"/>
  <c r="I38" i="5"/>
  <c r="I39" i="5" s="1"/>
  <c r="J37" i="5" s="1"/>
  <c r="I116" i="8"/>
  <c r="M192" i="1"/>
  <c r="L193" i="1"/>
  <c r="G19" i="8"/>
  <c r="G20" i="8" s="1"/>
  <c r="G32" i="8" s="1"/>
  <c r="G166" i="1"/>
  <c r="H49" i="2"/>
  <c r="K51" i="8"/>
  <c r="J54" i="8"/>
  <c r="F7" i="12"/>
  <c r="F10" i="12" s="1"/>
  <c r="F9" i="11"/>
  <c r="Q12" i="5"/>
  <c r="R12" i="5" s="1"/>
  <c r="I124" i="5"/>
  <c r="I94" i="5"/>
  <c r="J32" i="11"/>
  <c r="J18" i="11"/>
  <c r="N159" i="1"/>
  <c r="N26" i="8"/>
  <c r="O42" i="2"/>
  <c r="D45" i="8"/>
  <c r="D46" i="8" s="1"/>
  <c r="Q10" i="5"/>
  <c r="R10" i="5" s="1"/>
  <c r="P16" i="5"/>
  <c r="Q16" i="5" s="1"/>
  <c r="C188" i="1"/>
  <c r="C81" i="8"/>
  <c r="H175" i="1"/>
  <c r="H73" i="8"/>
  <c r="I36" i="2"/>
  <c r="H153" i="1"/>
  <c r="H11" i="8"/>
  <c r="M51" i="5"/>
  <c r="N49" i="5" s="1"/>
  <c r="N50" i="5" s="1"/>
  <c r="N47" i="5"/>
  <c r="M88" i="5"/>
  <c r="P23" i="5"/>
  <c r="Q23" i="5" s="1"/>
  <c r="M9" i="5"/>
  <c r="L18" i="5"/>
  <c r="L141" i="8"/>
  <c r="F166" i="8"/>
  <c r="F282" i="5"/>
  <c r="M15" i="5"/>
  <c r="N15" i="5" s="1"/>
  <c r="N194" i="1"/>
  <c r="N94" i="8"/>
  <c r="N176" i="8" s="1"/>
  <c r="G79" i="8"/>
  <c r="G278" i="5" s="1"/>
  <c r="G186" i="1"/>
  <c r="J283" i="5"/>
  <c r="O17" i="5"/>
  <c r="P17" i="5" s="1"/>
  <c r="K174" i="8"/>
  <c r="K93" i="8"/>
  <c r="K175" i="8" s="1"/>
  <c r="L59" i="5"/>
  <c r="L60" i="5" s="1"/>
  <c r="M58" i="5" s="1"/>
  <c r="G164" i="1"/>
  <c r="H278" i="5" l="1"/>
  <c r="H114" i="8"/>
  <c r="H129" i="8" s="1"/>
  <c r="H156" i="8"/>
  <c r="L52" i="15"/>
  <c r="L66" i="15"/>
  <c r="G38" i="8"/>
  <c r="G37" i="8"/>
  <c r="G36" i="8"/>
  <c r="G39" i="8" s="1"/>
  <c r="U2" i="2"/>
  <c r="T3" i="2"/>
  <c r="T4" i="2"/>
  <c r="T74" i="2"/>
  <c r="T60" i="2"/>
  <c r="N172" i="8"/>
  <c r="N286" i="5"/>
  <c r="H64" i="8"/>
  <c r="O94" i="8"/>
  <c r="O176" i="8" s="1"/>
  <c r="O194" i="1"/>
  <c r="F10" i="11"/>
  <c r="K54" i="8"/>
  <c r="L51" i="8"/>
  <c r="L170" i="8"/>
  <c r="L284" i="5"/>
  <c r="L89" i="8"/>
  <c r="K32" i="11"/>
  <c r="K18" i="11"/>
  <c r="F42" i="8"/>
  <c r="F43" i="8"/>
  <c r="F41" i="8"/>
  <c r="F44" i="8" s="1"/>
  <c r="I46" i="2"/>
  <c r="H163" i="1"/>
  <c r="H16" i="8"/>
  <c r="G7" i="12"/>
  <c r="G9" i="11"/>
  <c r="H79" i="8"/>
  <c r="H186" i="1"/>
  <c r="C280" i="5"/>
  <c r="C277" i="5" s="1"/>
  <c r="C276" i="5" s="1"/>
  <c r="C164" i="8"/>
  <c r="C84" i="8"/>
  <c r="C133" i="8"/>
  <c r="O159" i="1"/>
  <c r="O26" i="8"/>
  <c r="P42" i="2"/>
  <c r="I74" i="8"/>
  <c r="I176" i="1"/>
  <c r="O56" i="5"/>
  <c r="I48" i="2"/>
  <c r="H165" i="1"/>
  <c r="H18" i="8"/>
  <c r="F39" i="8"/>
  <c r="K90" i="5"/>
  <c r="K91" i="5" s="1"/>
  <c r="K92" i="5" s="1"/>
  <c r="J299" i="5"/>
  <c r="I45" i="2"/>
  <c r="H15" i="8"/>
  <c r="H162" i="1"/>
  <c r="I142" i="8"/>
  <c r="J139" i="8"/>
  <c r="G166" i="8"/>
  <c r="G282" i="5"/>
  <c r="M52" i="8"/>
  <c r="K95" i="8"/>
  <c r="I160" i="8"/>
  <c r="M18" i="5"/>
  <c r="N9" i="5"/>
  <c r="R16" i="5"/>
  <c r="S16" i="5" s="1"/>
  <c r="N45" i="5"/>
  <c r="O43" i="5" s="1"/>
  <c r="O44" i="5" s="1"/>
  <c r="N82" i="5"/>
  <c r="O41" i="5"/>
  <c r="O53" i="8"/>
  <c r="I154" i="1"/>
  <c r="J37" i="2"/>
  <c r="I12" i="8"/>
  <c r="N157" i="1"/>
  <c r="M158" i="1"/>
  <c r="O41" i="2" s="1"/>
  <c r="O40" i="2"/>
  <c r="N24" i="8"/>
  <c r="J36" i="11"/>
  <c r="K11" i="11"/>
  <c r="L117" i="8"/>
  <c r="L288" i="5"/>
  <c r="L242" i="5"/>
  <c r="L136" i="8"/>
  <c r="L179" i="5"/>
  <c r="L256" i="5"/>
  <c r="K11" i="10" s="1"/>
  <c r="K12" i="10" s="1"/>
  <c r="K14" i="10" s="1"/>
  <c r="I152" i="1"/>
  <c r="I10" i="8"/>
  <c r="J35" i="2"/>
  <c r="J124" i="5"/>
  <c r="J94" i="5"/>
  <c r="J38" i="2"/>
  <c r="I13" i="8"/>
  <c r="I155" i="1"/>
  <c r="H164" i="1"/>
  <c r="I47" i="2"/>
  <c r="H17" i="8"/>
  <c r="R23" i="5"/>
  <c r="S23" i="5" s="1"/>
  <c r="I73" i="8"/>
  <c r="I175" i="1"/>
  <c r="J116" i="8"/>
  <c r="J38" i="5"/>
  <c r="J39" i="5" s="1"/>
  <c r="K37" i="5" s="1"/>
  <c r="Q69" i="2"/>
  <c r="N12" i="3"/>
  <c r="P8" i="12"/>
  <c r="F289" i="5"/>
  <c r="F11" i="9" s="1"/>
  <c r="F79" i="5"/>
  <c r="F80" i="5" s="1"/>
  <c r="F33" i="9"/>
  <c r="Q27" i="5"/>
  <c r="R27" i="5" s="1"/>
  <c r="L298" i="5"/>
  <c r="M84" i="5"/>
  <c r="M85" i="5" s="1"/>
  <c r="M86" i="5" s="1"/>
  <c r="R170" i="1"/>
  <c r="S53" i="2"/>
  <c r="R30" i="8"/>
  <c r="S58" i="8"/>
  <c r="M56" i="8"/>
  <c r="M134" i="8"/>
  <c r="N25" i="5"/>
  <c r="S13" i="2"/>
  <c r="S7" i="2"/>
  <c r="S9" i="2"/>
  <c r="S8" i="2"/>
  <c r="S14" i="2"/>
  <c r="S12" i="2"/>
  <c r="H187" i="1"/>
  <c r="H80" i="8"/>
  <c r="H163" i="8" s="1"/>
  <c r="H190" i="1"/>
  <c r="H83" i="8"/>
  <c r="K74" i="5"/>
  <c r="L31" i="5"/>
  <c r="M115" i="8"/>
  <c r="N20" i="5"/>
  <c r="M50" i="8"/>
  <c r="M59" i="5"/>
  <c r="M60" i="5" s="1"/>
  <c r="N58" i="5" s="1"/>
  <c r="O15" i="5"/>
  <c r="P15" i="5" s="1"/>
  <c r="M141" i="8"/>
  <c r="I153" i="1"/>
  <c r="I11" i="8"/>
  <c r="J36" i="2"/>
  <c r="N92" i="8"/>
  <c r="M193" i="1"/>
  <c r="N192" i="1"/>
  <c r="M88" i="8"/>
  <c r="M181" i="1"/>
  <c r="L182" i="1"/>
  <c r="N28" i="8"/>
  <c r="N29" i="8" s="1"/>
  <c r="O51" i="2"/>
  <c r="N168" i="1"/>
  <c r="M169" i="1"/>
  <c r="O52" i="2" s="1"/>
  <c r="G165" i="8"/>
  <c r="G281" i="5"/>
  <c r="L8" i="11"/>
  <c r="K33" i="11"/>
  <c r="M13" i="13"/>
  <c r="M38" i="13" s="1"/>
  <c r="M63" i="13" s="1"/>
  <c r="M88" i="13" s="1"/>
  <c r="L53" i="5"/>
  <c r="M10" i="15"/>
  <c r="M24" i="15" s="1"/>
  <c r="M38" i="15" s="1"/>
  <c r="L5" i="12"/>
  <c r="M6" i="5"/>
  <c r="M6" i="11"/>
  <c r="L7" i="11"/>
  <c r="I76" i="8"/>
  <c r="I178" i="1"/>
  <c r="V66" i="5"/>
  <c r="W64" i="5" s="1"/>
  <c r="W65" i="5" s="1"/>
  <c r="W62" i="5"/>
  <c r="G162" i="8"/>
  <c r="N88" i="5"/>
  <c r="N51" i="5"/>
  <c r="O49" i="5" s="1"/>
  <c r="O50" i="5" s="1"/>
  <c r="O47" i="5"/>
  <c r="D188" i="1"/>
  <c r="D81" i="8"/>
  <c r="I239" i="5"/>
  <c r="I189" i="5"/>
  <c r="I12" i="12"/>
  <c r="H19" i="8"/>
  <c r="H166" i="1"/>
  <c r="I49" i="2"/>
  <c r="M92" i="8"/>
  <c r="S11" i="5"/>
  <c r="T11" i="5" s="1"/>
  <c r="I177" i="1"/>
  <c r="I75" i="8"/>
  <c r="G279" i="5"/>
  <c r="L57" i="8"/>
  <c r="K60" i="8"/>
  <c r="N68" i="5"/>
  <c r="H189" i="1"/>
  <c r="H82" i="8"/>
  <c r="M24" i="8"/>
  <c r="Q75" i="2"/>
  <c r="Q76" i="2"/>
  <c r="N70" i="8"/>
  <c r="O6" i="8"/>
  <c r="H159" i="8"/>
  <c r="C109" i="8"/>
  <c r="H279" i="5"/>
  <c r="H157" i="8"/>
  <c r="M257" i="5"/>
  <c r="M259" i="5"/>
  <c r="R21" i="5"/>
  <c r="S21" i="5" s="1"/>
  <c r="N14" i="3"/>
  <c r="Q71" i="2"/>
  <c r="L35" i="5"/>
  <c r="K76" i="5"/>
  <c r="S140" i="8"/>
  <c r="G67" i="8"/>
  <c r="P28" i="5"/>
  <c r="Q28" i="5" s="1"/>
  <c r="K120" i="8"/>
  <c r="J123" i="8"/>
  <c r="O183" i="1"/>
  <c r="O90" i="8"/>
  <c r="K71" i="5"/>
  <c r="K72" i="5" s="1"/>
  <c r="L70" i="5" s="1"/>
  <c r="K135" i="8"/>
  <c r="J34" i="2"/>
  <c r="I151" i="1"/>
  <c r="I9" i="8"/>
  <c r="K171" i="8"/>
  <c r="K177" i="8" s="1"/>
  <c r="K285" i="5"/>
  <c r="K283" i="5" s="1"/>
  <c r="M59" i="8"/>
  <c r="J77" i="8"/>
  <c r="J179" i="1"/>
  <c r="M298" i="5" l="1"/>
  <c r="N84" i="5"/>
  <c r="N85" i="5" s="1"/>
  <c r="N86" i="5" s="1"/>
  <c r="P183" i="1"/>
  <c r="P90" i="8"/>
  <c r="R71" i="2"/>
  <c r="O14" i="3"/>
  <c r="P6" i="8"/>
  <c r="O70" i="8"/>
  <c r="U11" i="5"/>
  <c r="V11" i="5" s="1"/>
  <c r="D164" i="8"/>
  <c r="D280" i="5"/>
  <c r="D277" i="5" s="1"/>
  <c r="D276" i="5" s="1"/>
  <c r="D133" i="8"/>
  <c r="D148" i="8" s="1"/>
  <c r="D12" i="11" s="1"/>
  <c r="D84" i="8"/>
  <c r="N6" i="11"/>
  <c r="M7" i="11"/>
  <c r="P26" i="5"/>
  <c r="Q26" i="5" s="1"/>
  <c r="K116" i="8"/>
  <c r="K38" i="5"/>
  <c r="K39" i="5" s="1"/>
  <c r="L37" i="5" s="1"/>
  <c r="J13" i="8"/>
  <c r="J155" i="1"/>
  <c r="K38" i="2"/>
  <c r="K35" i="2"/>
  <c r="J152" i="1"/>
  <c r="J10" i="8"/>
  <c r="N25" i="8"/>
  <c r="N31" i="8"/>
  <c r="I157" i="8"/>
  <c r="I279" i="5"/>
  <c r="J160" i="8"/>
  <c r="T21" i="5"/>
  <c r="U21" i="5" s="1"/>
  <c r="H165" i="8"/>
  <c r="H281" i="5"/>
  <c r="N59" i="5"/>
  <c r="N60" i="5" s="1"/>
  <c r="O58" i="5" s="1"/>
  <c r="N134" i="8"/>
  <c r="N56" i="8"/>
  <c r="O25" i="5"/>
  <c r="T58" i="8"/>
  <c r="J12" i="12"/>
  <c r="J189" i="5"/>
  <c r="J239" i="5"/>
  <c r="N18" i="5"/>
  <c r="O9" i="5"/>
  <c r="J45" i="2"/>
  <c r="I162" i="1"/>
  <c r="I15" i="8"/>
  <c r="I79" i="8"/>
  <c r="I186" i="1"/>
  <c r="S12" i="5"/>
  <c r="T12" i="5" s="1"/>
  <c r="N181" i="1"/>
  <c r="M182" i="1"/>
  <c r="N88" i="8"/>
  <c r="K179" i="1"/>
  <c r="K77" i="8"/>
  <c r="M25" i="8"/>
  <c r="M31" i="8" s="1"/>
  <c r="L60" i="8"/>
  <c r="M57" i="8"/>
  <c r="O192" i="1"/>
  <c r="N193" i="1"/>
  <c r="K94" i="5"/>
  <c r="K124" i="5"/>
  <c r="T23" i="5"/>
  <c r="U23" i="5" s="1"/>
  <c r="P53" i="8"/>
  <c r="T16" i="5"/>
  <c r="U16" i="5" s="1"/>
  <c r="G10" i="11"/>
  <c r="L285" i="5"/>
  <c r="L171" i="8"/>
  <c r="H9" i="11"/>
  <c r="H7" i="12"/>
  <c r="H10" i="12" s="1"/>
  <c r="G42" i="8"/>
  <c r="G43" i="8"/>
  <c r="G41" i="8"/>
  <c r="G44" i="8" s="1"/>
  <c r="G45" i="8" s="1"/>
  <c r="G46" i="8" s="1"/>
  <c r="M174" i="8"/>
  <c r="M93" i="8"/>
  <c r="M175" i="8" s="1"/>
  <c r="E81" i="8"/>
  <c r="E188" i="1"/>
  <c r="J178" i="1"/>
  <c r="J76" i="8"/>
  <c r="M52" i="15"/>
  <c r="M66" i="15"/>
  <c r="K36" i="2"/>
  <c r="J153" i="1"/>
  <c r="J11" i="8"/>
  <c r="N115" i="8"/>
  <c r="N50" i="8"/>
  <c r="O20" i="5"/>
  <c r="T22" i="5"/>
  <c r="U22" i="5" s="1"/>
  <c r="S27" i="5"/>
  <c r="T27" i="5" s="1"/>
  <c r="L11" i="11"/>
  <c r="K36" i="11"/>
  <c r="L90" i="5"/>
  <c r="L91" i="5" s="1"/>
  <c r="L92" i="5" s="1"/>
  <c r="K299" i="5"/>
  <c r="C167" i="8"/>
  <c r="C178" i="8" s="1"/>
  <c r="C96" i="8"/>
  <c r="C177" i="5" s="1"/>
  <c r="C181" i="5" s="1"/>
  <c r="G10" i="12"/>
  <c r="L283" i="5"/>
  <c r="M51" i="8"/>
  <c r="L54" i="8"/>
  <c r="N59" i="8"/>
  <c r="I64" i="8"/>
  <c r="L71" i="5"/>
  <c r="L72" i="5" s="1"/>
  <c r="M70" i="5" s="1"/>
  <c r="L135" i="8"/>
  <c r="K123" i="8"/>
  <c r="L120" i="8"/>
  <c r="L76" i="5"/>
  <c r="M35" i="5"/>
  <c r="N257" i="5"/>
  <c r="N259" i="5"/>
  <c r="C175" i="5"/>
  <c r="C110" i="8"/>
  <c r="C207" i="5" s="1"/>
  <c r="C10" i="9"/>
  <c r="C302" i="5"/>
  <c r="C211" i="5" s="1"/>
  <c r="I82" i="8"/>
  <c r="I189" i="1"/>
  <c r="I158" i="8"/>
  <c r="P47" i="5"/>
  <c r="O51" i="5"/>
  <c r="P49" i="5" s="1"/>
  <c r="P50" i="5" s="1"/>
  <c r="O88" i="5"/>
  <c r="I159" i="8"/>
  <c r="L33" i="11"/>
  <c r="M8" i="11"/>
  <c r="O168" i="1"/>
  <c r="P51" i="2"/>
  <c r="N169" i="1"/>
  <c r="P52" i="2" s="1"/>
  <c r="O28" i="8"/>
  <c r="O29" i="8" s="1"/>
  <c r="N93" i="8"/>
  <c r="N175" i="8" s="1"/>
  <c r="N174" i="8"/>
  <c r="H166" i="8"/>
  <c r="H282" i="5"/>
  <c r="I187" i="1"/>
  <c r="I80" i="8"/>
  <c r="S170" i="1"/>
  <c r="S30" i="8"/>
  <c r="T53" i="2"/>
  <c r="R69" i="2"/>
  <c r="O12" i="3"/>
  <c r="Q8" i="12"/>
  <c r="J73" i="8"/>
  <c r="J175" i="1"/>
  <c r="K37" i="2"/>
  <c r="J154" i="1"/>
  <c r="J12" i="8"/>
  <c r="P41" i="5"/>
  <c r="O82" i="5"/>
  <c r="O45" i="5"/>
  <c r="P43" i="5" s="1"/>
  <c r="P44" i="5" s="1"/>
  <c r="H67" i="8"/>
  <c r="F45" i="8"/>
  <c r="F46" i="8" s="1"/>
  <c r="P56" i="5"/>
  <c r="H162" i="8"/>
  <c r="L177" i="8"/>
  <c r="S10" i="5"/>
  <c r="T10" i="5" s="1"/>
  <c r="H38" i="8"/>
  <c r="H37" i="8"/>
  <c r="H36" i="8"/>
  <c r="H39" i="8" s="1"/>
  <c r="O14" i="5"/>
  <c r="T8" i="2"/>
  <c r="T14" i="2"/>
  <c r="T13" i="2"/>
  <c r="T9" i="2"/>
  <c r="T7" i="2"/>
  <c r="T12" i="2"/>
  <c r="K34" i="2"/>
  <c r="J9" i="8"/>
  <c r="J151" i="1"/>
  <c r="O286" i="5"/>
  <c r="O172" i="8"/>
  <c r="T140" i="8"/>
  <c r="M256" i="5"/>
  <c r="L11" i="10" s="1"/>
  <c r="L12" i="10" s="1"/>
  <c r="L14" i="10" s="1"/>
  <c r="M288" i="5"/>
  <c r="M242" i="5"/>
  <c r="M179" i="5"/>
  <c r="M136" i="8"/>
  <c r="M117" i="8"/>
  <c r="R75" i="2"/>
  <c r="R76" i="2"/>
  <c r="O68" i="5"/>
  <c r="J177" i="1"/>
  <c r="J75" i="8"/>
  <c r="J158" i="8" s="1"/>
  <c r="J49" i="2"/>
  <c r="I19" i="8"/>
  <c r="I166" i="1"/>
  <c r="W66" i="5"/>
  <c r="X64" i="5" s="1"/>
  <c r="X65" i="5" s="1"/>
  <c r="X62" i="5"/>
  <c r="L32" i="11"/>
  <c r="L18" i="11"/>
  <c r="N13" i="13"/>
  <c r="N38" i="13" s="1"/>
  <c r="N63" i="13" s="1"/>
  <c r="N88" i="13" s="1"/>
  <c r="M5" i="12"/>
  <c r="N10" i="15"/>
  <c r="N24" i="15" s="1"/>
  <c r="N38" i="15" s="1"/>
  <c r="M53" i="5"/>
  <c r="N6" i="5"/>
  <c r="M284" i="5"/>
  <c r="M170" i="8"/>
  <c r="M95" i="8"/>
  <c r="M89" i="8"/>
  <c r="N141" i="8"/>
  <c r="L74" i="5"/>
  <c r="M31" i="5"/>
  <c r="I190" i="1"/>
  <c r="I83" i="8"/>
  <c r="G78" i="5"/>
  <c r="F297" i="5"/>
  <c r="F296" i="5" s="1"/>
  <c r="I114" i="8"/>
  <c r="I129" i="8" s="1"/>
  <c r="I278" i="5"/>
  <c r="I156" i="8"/>
  <c r="J47" i="2"/>
  <c r="I164" i="1"/>
  <c r="I17" i="8"/>
  <c r="O24" i="8"/>
  <c r="P40" i="2"/>
  <c r="N158" i="1"/>
  <c r="P41" i="2" s="1"/>
  <c r="O157" i="1"/>
  <c r="N52" i="8"/>
  <c r="J142" i="8"/>
  <c r="K139" i="8"/>
  <c r="I165" i="1"/>
  <c r="I18" i="8"/>
  <c r="J48" i="2"/>
  <c r="J176" i="1"/>
  <c r="J74" i="8"/>
  <c r="P159" i="1"/>
  <c r="P26" i="8"/>
  <c r="Q42" i="2"/>
  <c r="Q17" i="5"/>
  <c r="R17" i="5" s="1"/>
  <c r="J46" i="2"/>
  <c r="I163" i="1"/>
  <c r="I16" i="8"/>
  <c r="I20" i="8" s="1"/>
  <c r="I32" i="8" s="1"/>
  <c r="L95" i="8"/>
  <c r="P194" i="1"/>
  <c r="P94" i="8"/>
  <c r="P176" i="8" s="1"/>
  <c r="H20" i="8"/>
  <c r="H32" i="8" s="1"/>
  <c r="U74" i="2"/>
  <c r="U3" i="2"/>
  <c r="U4" i="2"/>
  <c r="U60" i="2"/>
  <c r="V2" i="2"/>
  <c r="O84" i="5" l="1"/>
  <c r="O85" i="5" s="1"/>
  <c r="N298" i="5"/>
  <c r="J157" i="8"/>
  <c r="J279" i="5"/>
  <c r="K48" i="2"/>
  <c r="J18" i="8"/>
  <c r="J165" i="1"/>
  <c r="K47" i="2"/>
  <c r="J164" i="1"/>
  <c r="J17" i="8"/>
  <c r="L124" i="5"/>
  <c r="L94" i="5"/>
  <c r="J114" i="8"/>
  <c r="J129" i="8" s="1"/>
  <c r="J278" i="5"/>
  <c r="J156" i="8"/>
  <c r="O169" i="1"/>
  <c r="Q52" i="2" s="1"/>
  <c r="P168" i="1"/>
  <c r="P28" i="8"/>
  <c r="P29" i="8" s="1"/>
  <c r="Q51" i="2"/>
  <c r="N136" i="8"/>
  <c r="N256" i="5"/>
  <c r="M11" i="10" s="1"/>
  <c r="M12" i="10" s="1"/>
  <c r="M14" i="10" s="1"/>
  <c r="N288" i="5"/>
  <c r="N117" i="8"/>
  <c r="N242" i="5"/>
  <c r="N179" i="5"/>
  <c r="M120" i="8"/>
  <c r="L123" i="8"/>
  <c r="C191" i="5"/>
  <c r="C192" i="8"/>
  <c r="C241" i="5"/>
  <c r="C245" i="5" s="1"/>
  <c r="C246" i="5" s="1"/>
  <c r="L36" i="2"/>
  <c r="K11" i="8"/>
  <c r="K153" i="1"/>
  <c r="E280" i="5"/>
  <c r="E277" i="5" s="1"/>
  <c r="E276" i="5" s="1"/>
  <c r="E164" i="8"/>
  <c r="E84" i="8"/>
  <c r="E133" i="8"/>
  <c r="E148" i="8" s="1"/>
  <c r="E12" i="11" s="1"/>
  <c r="H10" i="11"/>
  <c r="J162" i="1"/>
  <c r="K45" i="2"/>
  <c r="J15" i="8"/>
  <c r="J67" i="8" s="1"/>
  <c r="V21" i="5"/>
  <c r="W21" i="5" s="1"/>
  <c r="R26" i="5"/>
  <c r="S26" i="5" s="1"/>
  <c r="Q94" i="8"/>
  <c r="Q176" i="8" s="1"/>
  <c r="Q194" i="1"/>
  <c r="K74" i="8"/>
  <c r="K176" i="1"/>
  <c r="O52" i="8"/>
  <c r="M177" i="8"/>
  <c r="K12" i="8"/>
  <c r="L37" i="2"/>
  <c r="K154" i="1"/>
  <c r="J189" i="1"/>
  <c r="J82" i="8"/>
  <c r="M76" i="5"/>
  <c r="N35" i="5"/>
  <c r="M11" i="11"/>
  <c r="L36" i="11"/>
  <c r="K189" i="5"/>
  <c r="K239" i="5"/>
  <c r="K12" i="12"/>
  <c r="O88" i="8"/>
  <c r="N182" i="1"/>
  <c r="O181" i="1"/>
  <c r="O59" i="5"/>
  <c r="O60" i="5" s="1"/>
  <c r="P58" i="5" s="1"/>
  <c r="D167" i="8"/>
  <c r="D178" i="8" s="1"/>
  <c r="D96" i="8"/>
  <c r="D177" i="5" s="1"/>
  <c r="D181" i="5" s="1"/>
  <c r="W2" i="2"/>
  <c r="V3" i="2"/>
  <c r="V4" i="2"/>
  <c r="V74" i="2"/>
  <c r="V60" i="2"/>
  <c r="J163" i="1"/>
  <c r="J16" i="8"/>
  <c r="K46" i="2"/>
  <c r="L139" i="8"/>
  <c r="K142" i="8"/>
  <c r="O25" i="8"/>
  <c r="O31" i="8"/>
  <c r="J83" i="8"/>
  <c r="J190" i="1"/>
  <c r="M283" i="5"/>
  <c r="S75" i="2"/>
  <c r="S76" i="2"/>
  <c r="K151" i="1"/>
  <c r="K9" i="8"/>
  <c r="L34" i="2"/>
  <c r="Q56" i="5"/>
  <c r="S69" i="2"/>
  <c r="R8" i="12"/>
  <c r="P12" i="3"/>
  <c r="N8" i="11"/>
  <c r="M33" i="11"/>
  <c r="I281" i="5"/>
  <c r="I165" i="8"/>
  <c r="Q26" i="8"/>
  <c r="R42" i="2"/>
  <c r="Q159" i="1"/>
  <c r="P24" i="8"/>
  <c r="Q40" i="2"/>
  <c r="P157" i="1"/>
  <c r="O158" i="1"/>
  <c r="Q41" i="2" s="1"/>
  <c r="G79" i="5"/>
  <c r="G80" i="5" s="1"/>
  <c r="G33" i="9"/>
  <c r="G289" i="5"/>
  <c r="G11" i="9" s="1"/>
  <c r="M74" i="5"/>
  <c r="N31" i="5"/>
  <c r="M171" i="8"/>
  <c r="M285" i="5"/>
  <c r="O6" i="5"/>
  <c r="O13" i="13"/>
  <c r="O38" i="13" s="1"/>
  <c r="O63" i="13" s="1"/>
  <c r="O88" i="13" s="1"/>
  <c r="N5" i="12"/>
  <c r="N53" i="5"/>
  <c r="O10" i="15"/>
  <c r="O24" i="15" s="1"/>
  <c r="O38" i="15" s="1"/>
  <c r="X66" i="5"/>
  <c r="Y64" i="5" s="1"/>
  <c r="Y65" i="5" s="1"/>
  <c r="Y62" i="5"/>
  <c r="P68" i="5"/>
  <c r="U140" i="8"/>
  <c r="J64" i="8"/>
  <c r="P14" i="5"/>
  <c r="Q14" i="5" s="1"/>
  <c r="U10" i="5"/>
  <c r="V10" i="5" s="1"/>
  <c r="Q41" i="5"/>
  <c r="P82" i="5"/>
  <c r="P45" i="5"/>
  <c r="Q43" i="5" s="1"/>
  <c r="Q44" i="5" s="1"/>
  <c r="K73" i="8"/>
  <c r="K175" i="1"/>
  <c r="I163" i="8"/>
  <c r="Q47" i="5"/>
  <c r="P51" i="5"/>
  <c r="Q49" i="5" s="1"/>
  <c r="Q50" i="5" s="1"/>
  <c r="O259" i="5"/>
  <c r="O257" i="5"/>
  <c r="M71" i="5"/>
  <c r="M72" i="5" s="1"/>
  <c r="N70" i="5" s="1"/>
  <c r="M135" i="8"/>
  <c r="N51" i="8"/>
  <c r="M54" i="8"/>
  <c r="V22" i="5"/>
  <c r="W22" i="5" s="1"/>
  <c r="F81" i="8"/>
  <c r="F188" i="1"/>
  <c r="Q53" i="8"/>
  <c r="Q15" i="5"/>
  <c r="R15" i="5" s="1"/>
  <c r="M60" i="8"/>
  <c r="N57" i="8"/>
  <c r="N89" i="8"/>
  <c r="N95" i="8"/>
  <c r="N170" i="8"/>
  <c r="N284" i="5"/>
  <c r="I67" i="8"/>
  <c r="O6" i="11"/>
  <c r="N7" i="11"/>
  <c r="P70" i="8"/>
  <c r="Q6" i="8"/>
  <c r="Q183" i="1"/>
  <c r="Q90" i="8"/>
  <c r="H42" i="8"/>
  <c r="H43" i="8"/>
  <c r="H41" i="8"/>
  <c r="J80" i="8"/>
  <c r="J163" i="8" s="1"/>
  <c r="J187" i="1"/>
  <c r="I38" i="8"/>
  <c r="I37" i="8"/>
  <c r="I36" i="8"/>
  <c r="O115" i="8"/>
  <c r="P20" i="5"/>
  <c r="O50" i="8"/>
  <c r="R28" i="5"/>
  <c r="S28" i="5" s="1"/>
  <c r="U58" i="8"/>
  <c r="K13" i="8"/>
  <c r="L38" i="2"/>
  <c r="K155" i="1"/>
  <c r="S71" i="2"/>
  <c r="P14" i="3"/>
  <c r="U8" i="2"/>
  <c r="U14" i="2"/>
  <c r="U13" i="2"/>
  <c r="U7" i="2"/>
  <c r="U9" i="2"/>
  <c r="U12" i="2"/>
  <c r="I7" i="12"/>
  <c r="I9" i="11"/>
  <c r="I166" i="8"/>
  <c r="I282" i="5"/>
  <c r="N66" i="15"/>
  <c r="N52" i="15"/>
  <c r="K49" i="2"/>
  <c r="J19" i="8"/>
  <c r="J166" i="1"/>
  <c r="K177" i="1"/>
  <c r="K75" i="8"/>
  <c r="J159" i="8"/>
  <c r="V16" i="5"/>
  <c r="W16" i="5" s="1"/>
  <c r="P192" i="1"/>
  <c r="O193" i="1"/>
  <c r="P92" i="8"/>
  <c r="K160" i="8"/>
  <c r="J79" i="8"/>
  <c r="J186" i="1"/>
  <c r="O134" i="8"/>
  <c r="O56" i="8"/>
  <c r="P25" i="5"/>
  <c r="K152" i="1"/>
  <c r="L35" i="2"/>
  <c r="K10" i="8"/>
  <c r="O141" i="8"/>
  <c r="O86" i="5"/>
  <c r="U53" i="2"/>
  <c r="T30" i="8"/>
  <c r="T170" i="1"/>
  <c r="O59" i="8"/>
  <c r="M90" i="5"/>
  <c r="M91" i="5" s="1"/>
  <c r="M92" i="5" s="1"/>
  <c r="L299" i="5"/>
  <c r="U27" i="5"/>
  <c r="V27" i="5" s="1"/>
  <c r="K178" i="1"/>
  <c r="K76" i="8"/>
  <c r="K159" i="8" s="1"/>
  <c r="O92" i="8"/>
  <c r="L179" i="1"/>
  <c r="L77" i="8"/>
  <c r="U12" i="5"/>
  <c r="V12" i="5" s="1"/>
  <c r="I162" i="8"/>
  <c r="P9" i="5"/>
  <c r="O18" i="5"/>
  <c r="L38" i="5"/>
  <c r="L39" i="5" s="1"/>
  <c r="M37" i="5" s="1"/>
  <c r="L116" i="8"/>
  <c r="M18" i="11"/>
  <c r="M32" i="11"/>
  <c r="D13" i="11"/>
  <c r="P172" i="8"/>
  <c r="P286" i="5"/>
  <c r="P18" i="5" l="1"/>
  <c r="Q9" i="5"/>
  <c r="L178" i="1"/>
  <c r="L76" i="8"/>
  <c r="L177" i="1"/>
  <c r="L75" i="8"/>
  <c r="L158" i="8" s="1"/>
  <c r="P115" i="8"/>
  <c r="Q20" i="5"/>
  <c r="P50" i="8"/>
  <c r="N32" i="11"/>
  <c r="N18" i="11"/>
  <c r="N60" i="8"/>
  <c r="O57" i="8"/>
  <c r="N54" i="8"/>
  <c r="O51" i="8"/>
  <c r="P259" i="5"/>
  <c r="P257" i="5"/>
  <c r="R14" i="5"/>
  <c r="V140" i="8"/>
  <c r="O31" i="5"/>
  <c r="N74" i="5"/>
  <c r="P31" i="8"/>
  <c r="P25" i="8"/>
  <c r="K64" i="8"/>
  <c r="L142" i="8"/>
  <c r="M139" i="8"/>
  <c r="W60" i="2"/>
  <c r="W3" i="2"/>
  <c r="W4" i="2"/>
  <c r="W74" i="2"/>
  <c r="X2" i="2"/>
  <c r="E167" i="8"/>
  <c r="E178" i="8" s="1"/>
  <c r="E96" i="8"/>
  <c r="E177" i="5" s="1"/>
  <c r="E181" i="5" s="1"/>
  <c r="M77" i="8"/>
  <c r="M179" i="1"/>
  <c r="P93" i="8"/>
  <c r="P175" i="8" s="1"/>
  <c r="P174" i="8"/>
  <c r="K80" i="8"/>
  <c r="K187" i="1"/>
  <c r="R90" i="8"/>
  <c r="R183" i="1"/>
  <c r="J38" i="8"/>
  <c r="J37" i="8"/>
  <c r="J36" i="8"/>
  <c r="J39" i="8" s="1"/>
  <c r="J45" i="8" s="1"/>
  <c r="J46" i="8" s="1"/>
  <c r="Q68" i="5"/>
  <c r="O66" i="15"/>
  <c r="O52" i="15"/>
  <c r="M94" i="5"/>
  <c r="M124" i="5"/>
  <c r="R26" i="8"/>
  <c r="S42" i="2"/>
  <c r="R159" i="1"/>
  <c r="N33" i="11"/>
  <c r="O8" i="11"/>
  <c r="M34" i="2"/>
  <c r="L151" i="1"/>
  <c r="L9" i="8"/>
  <c r="W11" i="5"/>
  <c r="X11" i="5" s="1"/>
  <c r="P59" i="5"/>
  <c r="P60" i="5" s="1"/>
  <c r="Q58" i="5" s="1"/>
  <c r="M37" i="2"/>
  <c r="L154" i="1"/>
  <c r="L12" i="8"/>
  <c r="R194" i="1"/>
  <c r="R94" i="8"/>
  <c r="R176" i="8" s="1"/>
  <c r="J42" i="8"/>
  <c r="J43" i="8"/>
  <c r="J41" i="8"/>
  <c r="J44" i="8" s="1"/>
  <c r="C193" i="5"/>
  <c r="C194" i="5" s="1"/>
  <c r="P169" i="1"/>
  <c r="R52" i="2" s="1"/>
  <c r="Q28" i="8"/>
  <c r="Q29" i="8" s="1"/>
  <c r="Q168" i="1"/>
  <c r="R51" i="2"/>
  <c r="L12" i="12"/>
  <c r="L239" i="5"/>
  <c r="L189" i="5"/>
  <c r="L48" i="2"/>
  <c r="K18" i="8"/>
  <c r="K165" i="1"/>
  <c r="O93" i="8"/>
  <c r="O175" i="8" s="1"/>
  <c r="O174" i="8"/>
  <c r="P84" i="5"/>
  <c r="P85" i="5" s="1"/>
  <c r="O298" i="5"/>
  <c r="P134" i="8"/>
  <c r="P56" i="8"/>
  <c r="Q25" i="5"/>
  <c r="J162" i="8"/>
  <c r="I10" i="11"/>
  <c r="T71" i="2"/>
  <c r="Q14" i="3"/>
  <c r="V23" i="5"/>
  <c r="W23" i="5" s="1"/>
  <c r="I39" i="8"/>
  <c r="R6" i="8"/>
  <c r="Q70" i="8"/>
  <c r="I42" i="8"/>
  <c r="I43" i="8"/>
  <c r="I41" i="8"/>
  <c r="I44" i="8" s="1"/>
  <c r="N171" i="8"/>
  <c r="N177" i="8" s="1"/>
  <c r="N285" i="5"/>
  <c r="S15" i="5"/>
  <c r="T15" i="5" s="1"/>
  <c r="N71" i="5"/>
  <c r="N72" i="5" s="1"/>
  <c r="O70" i="5" s="1"/>
  <c r="N135" i="8"/>
  <c r="Q51" i="5"/>
  <c r="R49" i="5" s="1"/>
  <c r="R50" i="5" s="1"/>
  <c r="Q88" i="5"/>
  <c r="R47" i="5"/>
  <c r="L175" i="1"/>
  <c r="L73" i="8"/>
  <c r="R41" i="5"/>
  <c r="Q82" i="5"/>
  <c r="Q45" i="5"/>
  <c r="R43" i="5" s="1"/>
  <c r="R44" i="5" s="1"/>
  <c r="J20" i="8"/>
  <c r="J32" i="8" s="1"/>
  <c r="P158" i="1"/>
  <c r="R41" i="2" s="1"/>
  <c r="R40" i="2"/>
  <c r="Q157" i="1"/>
  <c r="T69" i="2"/>
  <c r="Q12" i="3"/>
  <c r="Q24" i="8" s="1"/>
  <c r="S8" i="12"/>
  <c r="R56" i="5"/>
  <c r="K83" i="8"/>
  <c r="K190" i="1"/>
  <c r="P181" i="1"/>
  <c r="P88" i="8"/>
  <c r="O182" i="1"/>
  <c r="M36" i="11"/>
  <c r="N11" i="11"/>
  <c r="J165" i="8"/>
  <c r="J281" i="5"/>
  <c r="P52" i="8"/>
  <c r="J9" i="11"/>
  <c r="J7" i="12"/>
  <c r="J10" i="12" s="1"/>
  <c r="P141" i="8"/>
  <c r="M38" i="2"/>
  <c r="L155" i="1"/>
  <c r="L13" i="8"/>
  <c r="L160" i="8" s="1"/>
  <c r="V58" i="8"/>
  <c r="Q172" i="8"/>
  <c r="Q286" i="5"/>
  <c r="F280" i="5"/>
  <c r="F277" i="5" s="1"/>
  <c r="F276" i="5" s="1"/>
  <c r="F164" i="8"/>
  <c r="F84" i="8"/>
  <c r="F133" i="8"/>
  <c r="F148" i="8" s="1"/>
  <c r="F12" i="11" s="1"/>
  <c r="G297" i="5"/>
  <c r="G296" i="5" s="1"/>
  <c r="H78" i="5"/>
  <c r="O89" i="8"/>
  <c r="O170" i="8"/>
  <c r="O284" i="5"/>
  <c r="N76" i="5"/>
  <c r="O35" i="5"/>
  <c r="K157" i="8"/>
  <c r="K279" i="5"/>
  <c r="C31" i="9"/>
  <c r="C35" i="9" s="1"/>
  <c r="M116" i="8"/>
  <c r="M38" i="5"/>
  <c r="M39" i="5" s="1"/>
  <c r="N37" i="5" s="1"/>
  <c r="W27" i="5"/>
  <c r="X27" i="5" s="1"/>
  <c r="P59" i="8"/>
  <c r="L10" i="8"/>
  <c r="M35" i="2"/>
  <c r="L152" i="1"/>
  <c r="K79" i="8"/>
  <c r="K186" i="1"/>
  <c r="K166" i="1"/>
  <c r="L49" i="2"/>
  <c r="K19" i="8"/>
  <c r="O7" i="11"/>
  <c r="P6" i="11"/>
  <c r="P86" i="5"/>
  <c r="P6" i="5"/>
  <c r="P13" i="13"/>
  <c r="P38" i="13" s="1"/>
  <c r="P63" i="13" s="1"/>
  <c r="P88" i="13" s="1"/>
  <c r="O53" i="5"/>
  <c r="P10" i="15"/>
  <c r="P24" i="15" s="1"/>
  <c r="P38" i="15" s="1"/>
  <c r="O5" i="12"/>
  <c r="D14" i="11"/>
  <c r="D21" i="11" s="1"/>
  <c r="D23" i="11" s="1"/>
  <c r="D25" i="11" s="1"/>
  <c r="D28" i="11" s="1"/>
  <c r="W12" i="5"/>
  <c r="X12" i="5" s="1"/>
  <c r="N90" i="5"/>
  <c r="N91" i="5" s="1"/>
  <c r="N92" i="5" s="1"/>
  <c r="M299" i="5"/>
  <c r="V53" i="2"/>
  <c r="U170" i="1"/>
  <c r="U30" i="8"/>
  <c r="P193" i="1"/>
  <c r="Q192" i="1"/>
  <c r="K158" i="8"/>
  <c r="I10" i="12"/>
  <c r="H44" i="8"/>
  <c r="H45" i="8" s="1"/>
  <c r="H46" i="8" s="1"/>
  <c r="S17" i="5"/>
  <c r="T17" i="5" s="1"/>
  <c r="N283" i="5"/>
  <c r="R53" i="8"/>
  <c r="G81" i="8"/>
  <c r="G188" i="1"/>
  <c r="O117" i="8"/>
  <c r="O179" i="5"/>
  <c r="O242" i="5"/>
  <c r="O288" i="5"/>
  <c r="O136" i="8"/>
  <c r="O256" i="5"/>
  <c r="N11" i="10" s="1"/>
  <c r="N12" i="10" s="1"/>
  <c r="N14" i="10" s="1"/>
  <c r="P88" i="5"/>
  <c r="K114" i="8"/>
  <c r="K129" i="8" s="1"/>
  <c r="K156" i="8"/>
  <c r="W10" i="5"/>
  <c r="X10" i="5" s="1"/>
  <c r="Y66" i="5"/>
  <c r="Z64" i="5" s="1"/>
  <c r="Z65" i="5" s="1"/>
  <c r="Z62" i="5"/>
  <c r="T76" i="2"/>
  <c r="T75" i="2"/>
  <c r="J166" i="8"/>
  <c r="J282" i="5"/>
  <c r="K163" i="1"/>
  <c r="K16" i="8"/>
  <c r="L46" i="2"/>
  <c r="V7" i="2"/>
  <c r="V9" i="2"/>
  <c r="V8" i="2"/>
  <c r="V14" i="2"/>
  <c r="V13" i="2"/>
  <c r="V12" i="2"/>
  <c r="D191" i="5"/>
  <c r="D193" i="5" s="1"/>
  <c r="D241" i="5"/>
  <c r="D245" i="5" s="1"/>
  <c r="K82" i="8"/>
  <c r="K189" i="1"/>
  <c r="L176" i="1"/>
  <c r="L74" i="8"/>
  <c r="T26" i="5"/>
  <c r="U26" i="5" s="1"/>
  <c r="L45" i="2"/>
  <c r="K162" i="1"/>
  <c r="K15" i="8"/>
  <c r="K20" i="8" s="1"/>
  <c r="K32" i="8" s="1"/>
  <c r="E13" i="11"/>
  <c r="L11" i="8"/>
  <c r="L153" i="1"/>
  <c r="M36" i="2"/>
  <c r="D82" i="13"/>
  <c r="D59" i="13"/>
  <c r="D52" i="13"/>
  <c r="D28" i="13"/>
  <c r="D31" i="13"/>
  <c r="D83" i="13"/>
  <c r="D76" i="13"/>
  <c r="D33" i="13"/>
  <c r="D27" i="13"/>
  <c r="D58" i="13"/>
  <c r="D53" i="13"/>
  <c r="D81" i="13"/>
  <c r="D57" i="13"/>
  <c r="D77" i="13"/>
  <c r="D32" i="13"/>
  <c r="D60" i="13"/>
  <c r="D54" i="13"/>
  <c r="D56" i="13"/>
  <c r="D84" i="13"/>
  <c r="D78" i="13"/>
  <c r="D30" i="13"/>
  <c r="D55" i="13"/>
  <c r="D34" i="13"/>
  <c r="D86" i="13"/>
  <c r="D80" i="13"/>
  <c r="D35" i="13"/>
  <c r="D85" i="13"/>
  <c r="D29" i="13"/>
  <c r="D61" i="13"/>
  <c r="D79" i="13"/>
  <c r="D26" i="13"/>
  <c r="D51" i="13"/>
  <c r="D36" i="13"/>
  <c r="N120" i="8"/>
  <c r="M123" i="8"/>
  <c r="K17" i="8"/>
  <c r="K164" i="1"/>
  <c r="L47" i="2"/>
  <c r="D149" i="8" l="1"/>
  <c r="D37" i="11"/>
  <c r="D38" i="11" s="1"/>
  <c r="Q25" i="8"/>
  <c r="Q31" i="8" s="1"/>
  <c r="O171" i="8"/>
  <c r="O285" i="5"/>
  <c r="F167" i="8"/>
  <c r="F178" i="8" s="1"/>
  <c r="F96" i="8"/>
  <c r="F177" i="5" s="1"/>
  <c r="F181" i="5" s="1"/>
  <c r="L83" i="8"/>
  <c r="L190" i="1"/>
  <c r="Y11" i="5"/>
  <c r="Z11" i="5" s="1"/>
  <c r="P8" i="11"/>
  <c r="O33" i="11"/>
  <c r="S90" i="8"/>
  <c r="S183" i="1"/>
  <c r="T28" i="5"/>
  <c r="U28" i="5" s="1"/>
  <c r="M160" i="8"/>
  <c r="X3" i="2"/>
  <c r="X4" i="2"/>
  <c r="X60" i="2"/>
  <c r="X74" i="2"/>
  <c r="Y2" i="2"/>
  <c r="K38" i="8"/>
  <c r="K37" i="8"/>
  <c r="K36" i="8"/>
  <c r="K39" i="8" s="1"/>
  <c r="W140" i="8"/>
  <c r="P57" i="8"/>
  <c r="O60" i="8"/>
  <c r="Q18" i="5"/>
  <c r="R9" i="5"/>
  <c r="M176" i="1"/>
  <c r="M74" i="8"/>
  <c r="K9" i="11"/>
  <c r="K7" i="12"/>
  <c r="K10" i="12" s="1"/>
  <c r="P66" i="15"/>
  <c r="P52" i="15"/>
  <c r="O283" i="5"/>
  <c r="M155" i="1"/>
  <c r="M13" i="8"/>
  <c r="N38" i="2"/>
  <c r="J10" i="11"/>
  <c r="K166" i="8"/>
  <c r="K282" i="5"/>
  <c r="O71" i="5"/>
  <c r="O72" i="5" s="1"/>
  <c r="P70" i="5" s="1"/>
  <c r="O135" i="8"/>
  <c r="N124" i="5"/>
  <c r="N94" i="5"/>
  <c r="L17" i="8"/>
  <c r="M47" i="2"/>
  <c r="L164" i="1"/>
  <c r="N123" i="8"/>
  <c r="O120" i="8"/>
  <c r="K165" i="8"/>
  <c r="K281" i="5"/>
  <c r="AA62" i="5"/>
  <c r="Z66" i="5"/>
  <c r="AA64" i="5" s="1"/>
  <c r="AA65" i="5" s="1"/>
  <c r="H81" i="8"/>
  <c r="H188" i="1"/>
  <c r="R192" i="1"/>
  <c r="Q193" i="1"/>
  <c r="V30" i="8"/>
  <c r="V170" i="1"/>
  <c r="W53" i="2"/>
  <c r="P7" i="11"/>
  <c r="Q6" i="11"/>
  <c r="L19" i="8"/>
  <c r="M49" i="2"/>
  <c r="L166" i="1"/>
  <c r="O177" i="8"/>
  <c r="F13" i="11"/>
  <c r="W58" i="8"/>
  <c r="X16" i="5"/>
  <c r="Y16" i="5" s="1"/>
  <c r="Q52" i="8"/>
  <c r="N36" i="11"/>
  <c r="O11" i="11"/>
  <c r="P182" i="1"/>
  <c r="Q88" i="8"/>
  <c r="Q181" i="1"/>
  <c r="S56" i="5"/>
  <c r="L156" i="8"/>
  <c r="L278" i="5"/>
  <c r="L114" i="8"/>
  <c r="L129" i="8" s="1"/>
  <c r="X23" i="5"/>
  <c r="Y23" i="5" s="1"/>
  <c r="N37" i="2"/>
  <c r="M154" i="1"/>
  <c r="M12" i="8"/>
  <c r="Q59" i="5"/>
  <c r="Q60" i="5" s="1"/>
  <c r="R58" i="5" s="1"/>
  <c r="S26" i="8"/>
  <c r="S159" i="1"/>
  <c r="T42" i="2"/>
  <c r="K163" i="8"/>
  <c r="N179" i="1"/>
  <c r="N77" i="8"/>
  <c r="X21" i="5"/>
  <c r="Y21" i="5" s="1"/>
  <c r="W13" i="2"/>
  <c r="W9" i="2"/>
  <c r="W14" i="2"/>
  <c r="W7" i="2"/>
  <c r="W8" i="2"/>
  <c r="W12" i="2"/>
  <c r="Q259" i="5"/>
  <c r="Q257" i="5"/>
  <c r="M76" i="8"/>
  <c r="M159" i="8" s="1"/>
  <c r="M178" i="1"/>
  <c r="N36" i="2"/>
  <c r="M11" i="8"/>
  <c r="M153" i="1"/>
  <c r="K67" i="8"/>
  <c r="L157" i="8"/>
  <c r="G280" i="5"/>
  <c r="G277" i="5" s="1"/>
  <c r="G276" i="5" s="1"/>
  <c r="G164" i="8"/>
  <c r="G84" i="8"/>
  <c r="G133" i="8"/>
  <c r="G148" i="8" s="1"/>
  <c r="G12" i="11" s="1"/>
  <c r="U17" i="5"/>
  <c r="V17" i="5" s="1"/>
  <c r="Q10" i="15"/>
  <c r="Q24" i="15" s="1"/>
  <c r="Q38" i="15" s="1"/>
  <c r="P5" i="12"/>
  <c r="Q13" i="13"/>
  <c r="Q38" i="13" s="1"/>
  <c r="Q63" i="13" s="1"/>
  <c r="Q88" i="13" s="1"/>
  <c r="P53" i="5"/>
  <c r="Q6" i="5"/>
  <c r="O18" i="11"/>
  <c r="O32" i="11"/>
  <c r="L186" i="1"/>
  <c r="L79" i="8"/>
  <c r="N38" i="5"/>
  <c r="N39" i="5" s="1"/>
  <c r="O37" i="5" s="1"/>
  <c r="N116" i="8"/>
  <c r="R157" i="1"/>
  <c r="Q158" i="1"/>
  <c r="S41" i="2" s="1"/>
  <c r="S40" i="2"/>
  <c r="M175" i="1"/>
  <c r="M73" i="8"/>
  <c r="U71" i="2"/>
  <c r="R14" i="3"/>
  <c r="L162" i="1"/>
  <c r="M45" i="2"/>
  <c r="L15" i="8"/>
  <c r="U76" i="2"/>
  <c r="U75" i="2"/>
  <c r="Q84" i="5"/>
  <c r="Q85" i="5" s="1"/>
  <c r="P298" i="5"/>
  <c r="K162" i="8"/>
  <c r="Q59" i="8"/>
  <c r="H79" i="5"/>
  <c r="H80" i="5" s="1"/>
  <c r="H33" i="9"/>
  <c r="H289" i="5"/>
  <c r="H11" i="9" s="1"/>
  <c r="Q141" i="8"/>
  <c r="U69" i="2"/>
  <c r="R12" i="3"/>
  <c r="T8" i="12"/>
  <c r="Q86" i="5"/>
  <c r="R51" i="5"/>
  <c r="S49" i="5" s="1"/>
  <c r="S50" i="5" s="1"/>
  <c r="S47" i="5"/>
  <c r="R70" i="8"/>
  <c r="S6" i="8"/>
  <c r="S94" i="8"/>
  <c r="S176" i="8" s="1"/>
  <c r="S194" i="1"/>
  <c r="L64" i="8"/>
  <c r="R172" i="8"/>
  <c r="R286" i="5"/>
  <c r="P51" i="8"/>
  <c r="O54" i="8"/>
  <c r="M75" i="8"/>
  <c r="M158" i="8" s="1"/>
  <c r="M177" i="1"/>
  <c r="E14" i="11"/>
  <c r="E21" i="11" s="1"/>
  <c r="E23" i="11" s="1"/>
  <c r="E25" i="11" s="1"/>
  <c r="E28" i="11" s="1"/>
  <c r="L82" i="8"/>
  <c r="L189" i="1"/>
  <c r="M46" i="2"/>
  <c r="L163" i="1"/>
  <c r="L16" i="8"/>
  <c r="L20" i="8" s="1"/>
  <c r="L32" i="8" s="1"/>
  <c r="K278" i="5"/>
  <c r="S53" i="8"/>
  <c r="Q92" i="8"/>
  <c r="N299" i="5"/>
  <c r="O90" i="5"/>
  <c r="O91" i="5" s="1"/>
  <c r="O92" i="5" s="1"/>
  <c r="D15" i="11"/>
  <c r="D20" i="11"/>
  <c r="D22" i="11" s="1"/>
  <c r="D24" i="11" s="1"/>
  <c r="D27" i="11" s="1"/>
  <c r="X22" i="5"/>
  <c r="Y22" i="5" s="1"/>
  <c r="M10" i="8"/>
  <c r="N35" i="2"/>
  <c r="M152" i="1"/>
  <c r="P35" i="5"/>
  <c r="O76" i="5"/>
  <c r="O95" i="8"/>
  <c r="P95" i="8"/>
  <c r="P170" i="8"/>
  <c r="P89" i="8"/>
  <c r="P284" i="5"/>
  <c r="R45" i="5"/>
  <c r="S43" i="5" s="1"/>
  <c r="S44" i="5" s="1"/>
  <c r="R82" i="5"/>
  <c r="S41" i="5"/>
  <c r="U15" i="5"/>
  <c r="V15" i="5" s="1"/>
  <c r="I45" i="8"/>
  <c r="I46" i="8" s="1"/>
  <c r="Q56" i="8"/>
  <c r="R25" i="5"/>
  <c r="Q134" i="8"/>
  <c r="M48" i="2"/>
  <c r="L18" i="8"/>
  <c r="L165" i="1"/>
  <c r="R28" i="8"/>
  <c r="R29" i="8" s="1"/>
  <c r="R168" i="1"/>
  <c r="S51" i="2"/>
  <c r="Q169" i="1"/>
  <c r="S52" i="2" s="1"/>
  <c r="D95" i="13"/>
  <c r="D74" i="13"/>
  <c r="D24" i="13"/>
  <c r="D44" i="13"/>
  <c r="D68" i="13"/>
  <c r="D18" i="13"/>
  <c r="D100" i="13"/>
  <c r="D40" i="13"/>
  <c r="D96" i="13"/>
  <c r="D91" i="13"/>
  <c r="D41" i="13"/>
  <c r="D46" i="13"/>
  <c r="D67" i="13"/>
  <c r="D17" i="13"/>
  <c r="D99" i="13"/>
  <c r="D50" i="13"/>
  <c r="D45" i="13"/>
  <c r="D72" i="13"/>
  <c r="D22" i="13"/>
  <c r="D69" i="13"/>
  <c r="D73" i="13"/>
  <c r="D23" i="13"/>
  <c r="D70" i="13"/>
  <c r="D42" i="13"/>
  <c r="D75" i="13"/>
  <c r="D21" i="13"/>
  <c r="D90" i="13"/>
  <c r="D48" i="13"/>
  <c r="D49" i="13"/>
  <c r="D93" i="13"/>
  <c r="D71" i="13"/>
  <c r="D15" i="13"/>
  <c r="D66" i="13"/>
  <c r="D92" i="13"/>
  <c r="D25" i="13"/>
  <c r="D97" i="13"/>
  <c r="D20" i="13"/>
  <c r="D65" i="13"/>
  <c r="D16" i="13"/>
  <c r="D47" i="13"/>
  <c r="D98" i="13"/>
  <c r="D19" i="13"/>
  <c r="D43" i="13"/>
  <c r="D94" i="13"/>
  <c r="M9" i="8"/>
  <c r="N34" i="2"/>
  <c r="M151" i="1"/>
  <c r="M12" i="12"/>
  <c r="M189" i="5"/>
  <c r="M239" i="5"/>
  <c r="R68" i="5"/>
  <c r="L187" i="1"/>
  <c r="L80" i="8"/>
  <c r="E241" i="5"/>
  <c r="E245" i="5" s="1"/>
  <c r="E191" i="5"/>
  <c r="E193" i="5" s="1"/>
  <c r="E18" i="12"/>
  <c r="M142" i="8"/>
  <c r="N139" i="8"/>
  <c r="P31" i="5"/>
  <c r="O74" i="5"/>
  <c r="P136" i="8"/>
  <c r="P256" i="5"/>
  <c r="O11" i="10" s="1"/>
  <c r="O12" i="10" s="1"/>
  <c r="O14" i="10" s="1"/>
  <c r="P288" i="5"/>
  <c r="P179" i="5"/>
  <c r="P242" i="5"/>
  <c r="P117" i="8"/>
  <c r="Q115" i="8"/>
  <c r="R20" i="5"/>
  <c r="Q50" i="8"/>
  <c r="L159" i="8"/>
  <c r="E37" i="11" l="1"/>
  <c r="E38" i="11" s="1"/>
  <c r="E149" i="8"/>
  <c r="O139" i="8"/>
  <c r="N142" i="8"/>
  <c r="S68" i="5"/>
  <c r="T53" i="8"/>
  <c r="L165" i="8"/>
  <c r="L281" i="5"/>
  <c r="T94" i="8"/>
  <c r="T176" i="8" s="1"/>
  <c r="T194" i="1"/>
  <c r="R84" i="5"/>
  <c r="R85" i="5" s="1"/>
  <c r="Q298" i="5"/>
  <c r="I78" i="5"/>
  <c r="H297" i="5"/>
  <c r="H296" i="5" s="1"/>
  <c r="V76" i="2"/>
  <c r="V75" i="2"/>
  <c r="N45" i="2"/>
  <c r="M15" i="8"/>
  <c r="M162" i="1"/>
  <c r="N73" i="8"/>
  <c r="N175" i="1"/>
  <c r="S24" i="8"/>
  <c r="T40" i="2"/>
  <c r="R158" i="1"/>
  <c r="T41" i="2" s="1"/>
  <c r="S157" i="1"/>
  <c r="M186" i="1"/>
  <c r="M79" i="8"/>
  <c r="R6" i="5"/>
  <c r="R10" i="15"/>
  <c r="R24" i="15" s="1"/>
  <c r="R38" i="15" s="1"/>
  <c r="Q53" i="5"/>
  <c r="R13" i="13"/>
  <c r="R38" i="13" s="1"/>
  <c r="R63" i="13" s="1"/>
  <c r="R88" i="13" s="1"/>
  <c r="Q5" i="12"/>
  <c r="Q66" i="15"/>
  <c r="Q52" i="15"/>
  <c r="K42" i="8"/>
  <c r="K43" i="8"/>
  <c r="K41" i="8"/>
  <c r="N76" i="8"/>
  <c r="N159" i="8" s="1"/>
  <c r="N178" i="1"/>
  <c r="Q136" i="8"/>
  <c r="Q256" i="5"/>
  <c r="P11" i="10" s="1"/>
  <c r="P12" i="10" s="1"/>
  <c r="P14" i="10" s="1"/>
  <c r="Q117" i="8"/>
  <c r="Q179" i="5"/>
  <c r="Q288" i="5"/>
  <c r="Q242" i="5"/>
  <c r="Z21" i="5"/>
  <c r="AA21" i="5" s="1"/>
  <c r="R59" i="5"/>
  <c r="R60" i="5" s="1"/>
  <c r="S58" i="5" s="1"/>
  <c r="Q182" i="1"/>
  <c r="R88" i="8"/>
  <c r="R181" i="1"/>
  <c r="O36" i="11"/>
  <c r="P11" i="11"/>
  <c r="Y27" i="5"/>
  <c r="Z27" i="5" s="1"/>
  <c r="Q7" i="11"/>
  <c r="R6" i="11"/>
  <c r="X53" i="2"/>
  <c r="W170" i="1"/>
  <c r="W30" i="8"/>
  <c r="R193" i="1"/>
  <c r="S192" i="1"/>
  <c r="V26" i="5"/>
  <c r="W26" i="5" s="1"/>
  <c r="P71" i="5"/>
  <c r="P72" i="5" s="1"/>
  <c r="Q70" i="5" s="1"/>
  <c r="P135" i="8"/>
  <c r="K10" i="11"/>
  <c r="X140" i="8"/>
  <c r="Y4" i="2"/>
  <c r="Z2" i="2"/>
  <c r="Y3" i="2"/>
  <c r="Y60" i="2"/>
  <c r="Y74" i="2"/>
  <c r="X9" i="2"/>
  <c r="X8" i="2"/>
  <c r="X7" i="2"/>
  <c r="X13" i="2"/>
  <c r="X14" i="2"/>
  <c r="X12" i="2"/>
  <c r="T183" i="1"/>
  <c r="T90" i="8"/>
  <c r="Q8" i="11"/>
  <c r="P33" i="11"/>
  <c r="O124" i="5"/>
  <c r="O94" i="5"/>
  <c r="L163" i="8"/>
  <c r="N151" i="1"/>
  <c r="N9" i="8"/>
  <c r="O34" i="2"/>
  <c r="R169" i="1"/>
  <c r="T52" i="2" s="1"/>
  <c r="S168" i="1"/>
  <c r="S28" i="8"/>
  <c r="S29" i="8" s="1"/>
  <c r="T51" i="2"/>
  <c r="O299" i="5"/>
  <c r="P90" i="5"/>
  <c r="P91" i="5" s="1"/>
  <c r="P92" i="5" s="1"/>
  <c r="N75" i="8"/>
  <c r="N158" i="8" s="1"/>
  <c r="N177" i="1"/>
  <c r="R88" i="5"/>
  <c r="S14" i="3"/>
  <c r="V71" i="2"/>
  <c r="W17" i="5"/>
  <c r="X17" i="5" s="1"/>
  <c r="N153" i="1"/>
  <c r="N11" i="8"/>
  <c r="O36" i="2"/>
  <c r="R259" i="5"/>
  <c r="R257" i="5"/>
  <c r="N160" i="8"/>
  <c r="T26" i="8"/>
  <c r="U42" i="2"/>
  <c r="T159" i="1"/>
  <c r="Z23" i="5"/>
  <c r="AA23" i="5" s="1"/>
  <c r="Q89" i="8"/>
  <c r="Q284" i="5"/>
  <c r="Q170" i="8"/>
  <c r="N49" i="2"/>
  <c r="M166" i="1"/>
  <c r="M19" i="8"/>
  <c r="P18" i="11"/>
  <c r="P32" i="11"/>
  <c r="AB62" i="5"/>
  <c r="AA66" i="5"/>
  <c r="AB64" i="5" s="1"/>
  <c r="AB65" i="5" s="1"/>
  <c r="P120" i="8"/>
  <c r="O123" i="8"/>
  <c r="M157" i="8"/>
  <c r="R18" i="5"/>
  <c r="S9" i="5"/>
  <c r="S286" i="5"/>
  <c r="S172" i="8"/>
  <c r="F241" i="5"/>
  <c r="F191" i="5"/>
  <c r="F193" i="5" s="1"/>
  <c r="F18" i="12"/>
  <c r="F20" i="12" s="1"/>
  <c r="Q31" i="5"/>
  <c r="P74" i="5"/>
  <c r="E20" i="12"/>
  <c r="M80" i="8"/>
  <c r="M187" i="1"/>
  <c r="S45" i="5"/>
  <c r="T43" i="5" s="1"/>
  <c r="T44" i="5" s="1"/>
  <c r="T41" i="5"/>
  <c r="S82" i="5"/>
  <c r="P285" i="5"/>
  <c r="P171" i="8"/>
  <c r="P177" i="8" s="1"/>
  <c r="P76" i="5"/>
  <c r="Q35" i="5"/>
  <c r="Z22" i="5"/>
  <c r="AA22" i="5" s="1"/>
  <c r="P54" i="8"/>
  <c r="Q51" i="8"/>
  <c r="L38" i="8"/>
  <c r="L37" i="8"/>
  <c r="L36" i="8"/>
  <c r="S51" i="5"/>
  <c r="T49" i="5" s="1"/>
  <c r="T50" i="5" s="1"/>
  <c r="T47" i="5"/>
  <c r="S12" i="3"/>
  <c r="V69" i="2"/>
  <c r="U8" i="12"/>
  <c r="R59" i="8"/>
  <c r="L67" i="8"/>
  <c r="R24" i="8"/>
  <c r="O116" i="8"/>
  <c r="O38" i="5"/>
  <c r="O39" i="5" s="1"/>
  <c r="P37" i="5" s="1"/>
  <c r="G13" i="11"/>
  <c r="O179" i="1"/>
  <c r="O77" i="8"/>
  <c r="N154" i="1"/>
  <c r="N12" i="8"/>
  <c r="O37" i="2"/>
  <c r="X58" i="8"/>
  <c r="Y12" i="5"/>
  <c r="Z12" i="5" s="1"/>
  <c r="R92" i="8"/>
  <c r="I188" i="1"/>
  <c r="I81" i="8"/>
  <c r="N239" i="5"/>
  <c r="N189" i="5"/>
  <c r="N12" i="12"/>
  <c r="N74" i="8"/>
  <c r="N176" i="1"/>
  <c r="P60" i="8"/>
  <c r="Q57" i="8"/>
  <c r="M190" i="1"/>
  <c r="M83" i="8"/>
  <c r="P283" i="5"/>
  <c r="M163" i="1"/>
  <c r="N46" i="2"/>
  <c r="M16" i="8"/>
  <c r="E15" i="11"/>
  <c r="E20" i="11"/>
  <c r="E22" i="11" s="1"/>
  <c r="E24" i="11" s="1"/>
  <c r="E27" i="11" s="1"/>
  <c r="R141" i="8"/>
  <c r="R50" i="8"/>
  <c r="S20" i="5"/>
  <c r="R115" i="8"/>
  <c r="M20" i="8"/>
  <c r="M32" i="8" s="1"/>
  <c r="M64" i="8"/>
  <c r="M18" i="8"/>
  <c r="N48" i="2"/>
  <c r="M165" i="1"/>
  <c r="S25" i="5"/>
  <c r="R134" i="8"/>
  <c r="R56" i="8"/>
  <c r="R86" i="5"/>
  <c r="N10" i="8"/>
  <c r="O35" i="2"/>
  <c r="N152" i="1"/>
  <c r="D130" i="8"/>
  <c r="D34" i="11"/>
  <c r="D35" i="11" s="1"/>
  <c r="D39" i="11" s="1"/>
  <c r="D40" i="11" s="1"/>
  <c r="Q174" i="8"/>
  <c r="Q93" i="8"/>
  <c r="Q175" i="8" s="1"/>
  <c r="M82" i="8"/>
  <c r="M189" i="1"/>
  <c r="S14" i="5"/>
  <c r="T14" i="5" s="1"/>
  <c r="T6" i="8"/>
  <c r="S70" i="8"/>
  <c r="Y10" i="5"/>
  <c r="Z10" i="5" s="1"/>
  <c r="M114" i="8"/>
  <c r="M129" i="8" s="1"/>
  <c r="M156" i="8"/>
  <c r="L162" i="8"/>
  <c r="G96" i="8"/>
  <c r="G177" i="5" s="1"/>
  <c r="G181" i="5" s="1"/>
  <c r="G167" i="8"/>
  <c r="G178" i="8" s="1"/>
  <c r="L279" i="5"/>
  <c r="L9" i="11"/>
  <c r="L7" i="12"/>
  <c r="T56" i="5"/>
  <c r="R52" i="8"/>
  <c r="F14" i="11"/>
  <c r="H164" i="8"/>
  <c r="H280" i="5"/>
  <c r="H277" i="5" s="1"/>
  <c r="H276" i="5" s="1"/>
  <c r="H133" i="8"/>
  <c r="H148" i="8" s="1"/>
  <c r="H12" i="11" s="1"/>
  <c r="H84" i="8"/>
  <c r="M17" i="8"/>
  <c r="N47" i="2"/>
  <c r="M164" i="1"/>
  <c r="N155" i="1"/>
  <c r="N13" i="8"/>
  <c r="O38" i="2"/>
  <c r="V28" i="5"/>
  <c r="W28" i="5" s="1"/>
  <c r="L166" i="8"/>
  <c r="L282" i="5"/>
  <c r="D106" i="8"/>
  <c r="D107" i="8"/>
  <c r="D105" i="8"/>
  <c r="D274" i="5" l="1"/>
  <c r="D189" i="8"/>
  <c r="O155" i="1"/>
  <c r="O13" i="8"/>
  <c r="O160" i="8" s="1"/>
  <c r="P38" i="2"/>
  <c r="L10" i="12"/>
  <c r="M7" i="12"/>
  <c r="M10" i="12" s="1"/>
  <c r="M9" i="11"/>
  <c r="U14" i="5"/>
  <c r="P35" i="2"/>
  <c r="O10" i="8"/>
  <c r="O152" i="1"/>
  <c r="S84" i="5"/>
  <c r="S85" i="5" s="1"/>
  <c r="R298" i="5"/>
  <c r="N165" i="1"/>
  <c r="N18" i="8"/>
  <c r="O48" i="2"/>
  <c r="N157" i="8"/>
  <c r="N279" i="5"/>
  <c r="I280" i="5"/>
  <c r="I277" i="5" s="1"/>
  <c r="I276" i="5" s="1"/>
  <c r="I164" i="8"/>
  <c r="I84" i="8"/>
  <c r="I133" i="8"/>
  <c r="I148" i="8" s="1"/>
  <c r="I12" i="11" s="1"/>
  <c r="P37" i="2"/>
  <c r="O154" i="1"/>
  <c r="O12" i="8"/>
  <c r="R31" i="8"/>
  <c r="R25" i="8"/>
  <c r="T51" i="5"/>
  <c r="U49" i="5" s="1"/>
  <c r="U50" i="5" s="1"/>
  <c r="U47" i="5"/>
  <c r="T45" i="5"/>
  <c r="U43" i="5" s="1"/>
  <c r="U44" i="5" s="1"/>
  <c r="U41" i="5"/>
  <c r="T82" i="5"/>
  <c r="N187" i="1"/>
  <c r="N80" i="8"/>
  <c r="N163" i="8" s="1"/>
  <c r="P124" i="5"/>
  <c r="P94" i="5"/>
  <c r="P123" i="8"/>
  <c r="Q120" i="8"/>
  <c r="Q285" i="5"/>
  <c r="Q171" i="8"/>
  <c r="S257" i="5"/>
  <c r="S259" i="5"/>
  <c r="O177" i="1"/>
  <c r="O75" i="8"/>
  <c r="Q33" i="11"/>
  <c r="R8" i="11"/>
  <c r="Z4" i="2"/>
  <c r="Z60" i="2"/>
  <c r="Z74" i="2"/>
  <c r="Z3" i="2"/>
  <c r="AA2" i="2"/>
  <c r="X26" i="5"/>
  <c r="Y26" i="5" s="1"/>
  <c r="Q32" i="11"/>
  <c r="Q18" i="11"/>
  <c r="P36" i="11"/>
  <c r="Q11" i="11"/>
  <c r="O76" i="8"/>
  <c r="O178" i="1"/>
  <c r="M162" i="8"/>
  <c r="N15" i="8"/>
  <c r="O45" i="2"/>
  <c r="N162" i="1"/>
  <c r="D188" i="8"/>
  <c r="D273" i="5"/>
  <c r="X28" i="5"/>
  <c r="Y28" i="5" s="1"/>
  <c r="S52" i="8"/>
  <c r="L10" i="11"/>
  <c r="M278" i="5"/>
  <c r="AA10" i="5"/>
  <c r="AB10" i="5" s="1"/>
  <c r="N82" i="8"/>
  <c r="N189" i="1"/>
  <c r="S141" i="8"/>
  <c r="Q60" i="8"/>
  <c r="R57" i="8"/>
  <c r="J81" i="8"/>
  <c r="J188" i="1"/>
  <c r="Y58" i="8"/>
  <c r="L42" i="8"/>
  <c r="L43" i="8"/>
  <c r="L41" i="8"/>
  <c r="L44" i="8" s="1"/>
  <c r="AB22" i="5"/>
  <c r="AC22" i="5" s="1"/>
  <c r="M163" i="8"/>
  <c r="R31" i="5"/>
  <c r="Q74" i="5"/>
  <c r="M279" i="5"/>
  <c r="Q177" i="8"/>
  <c r="N64" i="8"/>
  <c r="O239" i="5"/>
  <c r="O189" i="5"/>
  <c r="O12" i="12"/>
  <c r="T286" i="5"/>
  <c r="T172" i="8"/>
  <c r="S193" i="1"/>
  <c r="T192" i="1"/>
  <c r="X170" i="1"/>
  <c r="X30" i="8"/>
  <c r="Y53" i="2"/>
  <c r="AA27" i="5"/>
  <c r="AB27" i="5" s="1"/>
  <c r="N79" i="8"/>
  <c r="N186" i="1"/>
  <c r="S25" i="8"/>
  <c r="S31" i="8" s="1"/>
  <c r="M67" i="8"/>
  <c r="U94" i="8"/>
  <c r="U176" i="8" s="1"/>
  <c r="U194" i="1"/>
  <c r="W15" i="5"/>
  <c r="X15" i="5" s="1"/>
  <c r="T68" i="5"/>
  <c r="P139" i="8"/>
  <c r="O142" i="8"/>
  <c r="H96" i="8"/>
  <c r="H177" i="5" s="1"/>
  <c r="H181" i="5" s="1"/>
  <c r="H167" i="8"/>
  <c r="H178" i="8" s="1"/>
  <c r="F15" i="11"/>
  <c r="F20" i="11"/>
  <c r="F22" i="11" s="1"/>
  <c r="F24" i="11" s="1"/>
  <c r="F27" i="11" s="1"/>
  <c r="M281" i="5"/>
  <c r="M165" i="8"/>
  <c r="T20" i="5"/>
  <c r="S115" i="8"/>
  <c r="S50" i="8"/>
  <c r="M166" i="8"/>
  <c r="M282" i="5"/>
  <c r="R174" i="8"/>
  <c r="R93" i="8"/>
  <c r="R175" i="8" s="1"/>
  <c r="P77" i="8"/>
  <c r="P179" i="1"/>
  <c r="P38" i="5"/>
  <c r="P39" i="5" s="1"/>
  <c r="Q37" i="5" s="1"/>
  <c r="P116" i="8"/>
  <c r="V8" i="12"/>
  <c r="T12" i="3"/>
  <c r="W69" i="2"/>
  <c r="R51" i="8"/>
  <c r="Q54" i="8"/>
  <c r="Q76" i="5"/>
  <c r="R35" i="5"/>
  <c r="AA11" i="5"/>
  <c r="AB11" i="5" s="1"/>
  <c r="AB66" i="5"/>
  <c r="AC64" i="5" s="1"/>
  <c r="AC65" i="5" s="1"/>
  <c r="AC62" i="5"/>
  <c r="Q95" i="8"/>
  <c r="U159" i="1"/>
  <c r="U26" i="8"/>
  <c r="V42" i="2"/>
  <c r="W71" i="2"/>
  <c r="T14" i="3"/>
  <c r="Q90" i="5"/>
  <c r="Q91" i="5" s="1"/>
  <c r="Q92" i="5" s="1"/>
  <c r="P299" i="5"/>
  <c r="U51" i="2"/>
  <c r="T28" i="8"/>
  <c r="T29" i="8" s="1"/>
  <c r="T168" i="1"/>
  <c r="S169" i="1"/>
  <c r="U52" i="2" s="1"/>
  <c r="O151" i="1"/>
  <c r="O9" i="8"/>
  <c r="P34" i="2"/>
  <c r="U90" i="8"/>
  <c r="U183" i="1"/>
  <c r="Z16" i="5"/>
  <c r="AA16" i="5" s="1"/>
  <c r="R182" i="1"/>
  <c r="S181" i="1"/>
  <c r="S88" i="8"/>
  <c r="S59" i="5"/>
  <c r="S60" i="5" s="1"/>
  <c r="T58" i="5" s="1"/>
  <c r="K44" i="8"/>
  <c r="K45" i="8" s="1"/>
  <c r="K46" i="8" s="1"/>
  <c r="R66" i="15"/>
  <c r="R52" i="15"/>
  <c r="U40" i="2"/>
  <c r="S158" i="1"/>
  <c r="U41" i="2" s="1"/>
  <c r="T157" i="1"/>
  <c r="O73" i="8"/>
  <c r="O175" i="1"/>
  <c r="I79" i="5"/>
  <c r="I80" i="5" s="1"/>
  <c r="I289" i="5"/>
  <c r="I11" i="9" s="1"/>
  <c r="I33" i="9"/>
  <c r="U53" i="8"/>
  <c r="D187" i="8"/>
  <c r="D272" i="5"/>
  <c r="D108" i="8"/>
  <c r="N17" i="8"/>
  <c r="O47" i="2"/>
  <c r="N164" i="1"/>
  <c r="H13" i="11"/>
  <c r="F21" i="11"/>
  <c r="F23" i="11" s="1"/>
  <c r="F25" i="11" s="1"/>
  <c r="F28" i="11" s="1"/>
  <c r="U56" i="5"/>
  <c r="G241" i="5"/>
  <c r="G191" i="5"/>
  <c r="G193" i="5" s="1"/>
  <c r="G18" i="12"/>
  <c r="T70" i="8"/>
  <c r="U6" i="8"/>
  <c r="D100" i="8"/>
  <c r="D102" i="8"/>
  <c r="D101" i="8"/>
  <c r="T25" i="5"/>
  <c r="S134" i="8"/>
  <c r="S56" i="8"/>
  <c r="M38" i="8"/>
  <c r="M37" i="8"/>
  <c r="M36" i="8"/>
  <c r="E130" i="8"/>
  <c r="E34" i="11"/>
  <c r="E35" i="11" s="1"/>
  <c r="E39" i="11" s="1"/>
  <c r="E40" i="11" s="1"/>
  <c r="N16" i="8"/>
  <c r="N20" i="8" s="1"/>
  <c r="N32" i="8" s="1"/>
  <c r="O46" i="2"/>
  <c r="N163" i="1"/>
  <c r="N190" i="1"/>
  <c r="N83" i="8"/>
  <c r="O74" i="8"/>
  <c r="O176" i="1"/>
  <c r="AA12" i="5"/>
  <c r="AB12" i="5" s="1"/>
  <c r="G14" i="11"/>
  <c r="S59" i="8"/>
  <c r="S88" i="5"/>
  <c r="L39" i="8"/>
  <c r="L45" i="8" s="1"/>
  <c r="L46" i="8" s="1"/>
  <c r="S86" i="5"/>
  <c r="T9" i="5"/>
  <c r="S18" i="5"/>
  <c r="N166" i="1"/>
  <c r="N19" i="8"/>
  <c r="O49" i="2"/>
  <c r="Q283" i="5"/>
  <c r="R242" i="5"/>
  <c r="R117" i="8"/>
  <c r="R256" i="5"/>
  <c r="Q11" i="10" s="1"/>
  <c r="Q12" i="10" s="1"/>
  <c r="Q14" i="10" s="1"/>
  <c r="R288" i="5"/>
  <c r="R179" i="5"/>
  <c r="R136" i="8"/>
  <c r="O153" i="1"/>
  <c r="P36" i="2"/>
  <c r="O11" i="8"/>
  <c r="Y8" i="2"/>
  <c r="Y14" i="2"/>
  <c r="Y13" i="2"/>
  <c r="Y7" i="2"/>
  <c r="Y9" i="2"/>
  <c r="Y12" i="2"/>
  <c r="Y140" i="8"/>
  <c r="Q71" i="5"/>
  <c r="Q72" i="5" s="1"/>
  <c r="R70" i="5" s="1"/>
  <c r="Q135" i="8"/>
  <c r="S92" i="8"/>
  <c r="R7" i="11"/>
  <c r="S6" i="11"/>
  <c r="R170" i="8"/>
  <c r="R89" i="8"/>
  <c r="R95" i="8"/>
  <c r="R284" i="5"/>
  <c r="S6" i="5"/>
  <c r="S10" i="15"/>
  <c r="S24" i="15" s="1"/>
  <c r="S38" i="15" s="1"/>
  <c r="S13" i="13"/>
  <c r="S38" i="13" s="1"/>
  <c r="S63" i="13" s="1"/>
  <c r="S88" i="13" s="1"/>
  <c r="R5" i="12"/>
  <c r="R53" i="5"/>
  <c r="N156" i="8"/>
  <c r="N114" i="8"/>
  <c r="N129" i="8" s="1"/>
  <c r="W76" i="2"/>
  <c r="W75" i="2"/>
  <c r="E106" i="8"/>
  <c r="E107" i="8"/>
  <c r="E105" i="8"/>
  <c r="E189" i="8" l="1"/>
  <c r="E274" i="5"/>
  <c r="T6" i="5"/>
  <c r="T13" i="13"/>
  <c r="T38" i="13" s="1"/>
  <c r="T63" i="13" s="1"/>
  <c r="T88" i="13" s="1"/>
  <c r="S53" i="5"/>
  <c r="S5" i="12"/>
  <c r="T10" i="15"/>
  <c r="T24" i="15" s="1"/>
  <c r="T38" i="15" s="1"/>
  <c r="T84" i="5"/>
  <c r="T85" i="5" s="1"/>
  <c r="S298" i="5"/>
  <c r="T59" i="8"/>
  <c r="P74" i="8"/>
  <c r="P176" i="1"/>
  <c r="P46" i="2"/>
  <c r="O16" i="8"/>
  <c r="O163" i="1"/>
  <c r="E101" i="8"/>
  <c r="E102" i="8"/>
  <c r="E100" i="8"/>
  <c r="D183" i="8"/>
  <c r="D268" i="5"/>
  <c r="H21" i="11"/>
  <c r="H23" i="11" s="1"/>
  <c r="H25" i="11" s="1"/>
  <c r="H28" i="11" s="1"/>
  <c r="H14" i="11"/>
  <c r="V53" i="8"/>
  <c r="I297" i="5"/>
  <c r="I296" i="5" s="1"/>
  <c r="J78" i="5"/>
  <c r="S170" i="8"/>
  <c r="S89" i="8"/>
  <c r="S284" i="5"/>
  <c r="V90" i="8"/>
  <c r="V183" i="1"/>
  <c r="Q34" i="2"/>
  <c r="P9" i="8"/>
  <c r="P151" i="1"/>
  <c r="W8" i="12"/>
  <c r="U12" i="3"/>
  <c r="U92" i="8" s="1"/>
  <c r="X69" i="2"/>
  <c r="Q77" i="8"/>
  <c r="Q179" i="1"/>
  <c r="H241" i="5"/>
  <c r="H18" i="12"/>
  <c r="H20" i="12" s="1"/>
  <c r="H191" i="5"/>
  <c r="Q139" i="8"/>
  <c r="P142" i="8"/>
  <c r="V94" i="8"/>
  <c r="V176" i="8" s="1"/>
  <c r="V194" i="1"/>
  <c r="M42" i="8"/>
  <c r="M43" i="8"/>
  <c r="M41" i="8"/>
  <c r="N162" i="8"/>
  <c r="Y170" i="1"/>
  <c r="Z53" i="2"/>
  <c r="Y30" i="8"/>
  <c r="K81" i="8"/>
  <c r="K188" i="1"/>
  <c r="O189" i="1"/>
  <c r="O82" i="8"/>
  <c r="O162" i="1"/>
  <c r="O15" i="8"/>
  <c r="P45" i="2"/>
  <c r="T257" i="5"/>
  <c r="T259" i="5"/>
  <c r="P239" i="5"/>
  <c r="P189" i="5"/>
  <c r="P12" i="12"/>
  <c r="U45" i="5"/>
  <c r="V43" i="5" s="1"/>
  <c r="V44" i="5" s="1"/>
  <c r="U82" i="5"/>
  <c r="V41" i="5"/>
  <c r="V47" i="5"/>
  <c r="U51" i="5"/>
  <c r="V49" i="5" s="1"/>
  <c r="V50" i="5" s="1"/>
  <c r="I13" i="11"/>
  <c r="O18" i="8"/>
  <c r="P48" i="2"/>
  <c r="O165" i="1"/>
  <c r="E188" i="8"/>
  <c r="E273" i="5"/>
  <c r="N7" i="12"/>
  <c r="N10" i="12" s="1"/>
  <c r="N9" i="11"/>
  <c r="R283" i="5"/>
  <c r="S7" i="11"/>
  <c r="T6" i="11"/>
  <c r="R71" i="5"/>
  <c r="R72" i="5" s="1"/>
  <c r="S70" i="5" s="1"/>
  <c r="R135" i="8"/>
  <c r="O19" i="8"/>
  <c r="P49" i="2"/>
  <c r="O166" i="1"/>
  <c r="G15" i="11"/>
  <c r="G20" i="11"/>
  <c r="G22" i="11" s="1"/>
  <c r="G24" i="11" s="1"/>
  <c r="G27" i="11" s="1"/>
  <c r="O157" i="8"/>
  <c r="D269" i="5"/>
  <c r="D184" i="8"/>
  <c r="P73" i="8"/>
  <c r="P175" i="1"/>
  <c r="S182" i="1"/>
  <c r="T181" i="1"/>
  <c r="T88" i="8"/>
  <c r="U286" i="5"/>
  <c r="U172" i="8"/>
  <c r="AC66" i="5"/>
  <c r="AD64" i="5" s="1"/>
  <c r="AD65" i="5" s="1"/>
  <c r="AD62" i="5"/>
  <c r="S35" i="5"/>
  <c r="R76" i="5"/>
  <c r="R54" i="8"/>
  <c r="S51" i="8"/>
  <c r="P160" i="8"/>
  <c r="U20" i="5"/>
  <c r="T115" i="8"/>
  <c r="T50" i="8"/>
  <c r="T92" i="8"/>
  <c r="N38" i="8"/>
  <c r="N37" i="8"/>
  <c r="N36" i="8"/>
  <c r="N39" i="8" s="1"/>
  <c r="Q124" i="5"/>
  <c r="Q94" i="5"/>
  <c r="J164" i="8"/>
  <c r="J280" i="5"/>
  <c r="J277" i="5" s="1"/>
  <c r="J276" i="5" s="1"/>
  <c r="J84" i="8"/>
  <c r="J133" i="8"/>
  <c r="J148" i="8" s="1"/>
  <c r="J12" i="11" s="1"/>
  <c r="T141" i="8"/>
  <c r="N165" i="8"/>
  <c r="N281" i="5"/>
  <c r="P76" i="8"/>
  <c r="P178" i="1"/>
  <c r="R11" i="11"/>
  <c r="Q36" i="11"/>
  <c r="AA3" i="2"/>
  <c r="AA74" i="2"/>
  <c r="AA4" i="2"/>
  <c r="AA60" i="2"/>
  <c r="AB2" i="2"/>
  <c r="O158" i="8"/>
  <c r="S242" i="5"/>
  <c r="S256" i="5"/>
  <c r="R11" i="10" s="1"/>
  <c r="R12" i="10" s="1"/>
  <c r="R14" i="10" s="1"/>
  <c r="S117" i="8"/>
  <c r="S179" i="5"/>
  <c r="S288" i="5"/>
  <c r="S136" i="8"/>
  <c r="R120" i="8"/>
  <c r="Q123" i="8"/>
  <c r="I96" i="8"/>
  <c r="I177" i="5" s="1"/>
  <c r="I181" i="5" s="1"/>
  <c r="I167" i="8"/>
  <c r="I178" i="8" s="1"/>
  <c r="Q38" i="2"/>
  <c r="P13" i="8"/>
  <c r="P155" i="1"/>
  <c r="X75" i="2"/>
  <c r="X76" i="2"/>
  <c r="R32" i="11"/>
  <c r="R18" i="11"/>
  <c r="P11" i="8"/>
  <c r="Q36" i="2"/>
  <c r="P153" i="1"/>
  <c r="G21" i="11"/>
  <c r="G23" i="11" s="1"/>
  <c r="G25" i="11" s="1"/>
  <c r="G28" i="11" s="1"/>
  <c r="N166" i="8"/>
  <c r="N282" i="5"/>
  <c r="M39" i="8"/>
  <c r="D182" i="8"/>
  <c r="D185" i="8" s="1"/>
  <c r="D103" i="8"/>
  <c r="D109" i="8" s="1"/>
  <c r="D267" i="5"/>
  <c r="G20" i="12"/>
  <c r="V56" i="5"/>
  <c r="P47" i="2"/>
  <c r="O164" i="1"/>
  <c r="O17" i="8"/>
  <c r="O156" i="8"/>
  <c r="O114" i="8"/>
  <c r="O129" i="8" s="1"/>
  <c r="T24" i="8"/>
  <c r="U168" i="1"/>
  <c r="T169" i="1"/>
  <c r="V52" i="2" s="1"/>
  <c r="U28" i="8"/>
  <c r="U29" i="8" s="1"/>
  <c r="V51" i="2"/>
  <c r="Q299" i="5"/>
  <c r="R90" i="5"/>
  <c r="R91" i="5" s="1"/>
  <c r="R92" i="5" s="1"/>
  <c r="F34" i="11"/>
  <c r="F35" i="11" s="1"/>
  <c r="F130" i="8"/>
  <c r="U68" i="5"/>
  <c r="U88" i="5" s="1"/>
  <c r="U192" i="1"/>
  <c r="T193" i="1"/>
  <c r="R74" i="5"/>
  <c r="S31" i="5"/>
  <c r="N67" i="8"/>
  <c r="O159" i="8"/>
  <c r="Z9" i="2"/>
  <c r="Z14" i="2"/>
  <c r="Z7" i="2"/>
  <c r="Z8" i="2"/>
  <c r="Z13" i="2"/>
  <c r="Z12" i="2"/>
  <c r="P75" i="8"/>
  <c r="P158" i="8" s="1"/>
  <c r="P177" i="1"/>
  <c r="O187" i="1"/>
  <c r="O80" i="8"/>
  <c r="O163" i="8" s="1"/>
  <c r="T88" i="5"/>
  <c r="P12" i="8"/>
  <c r="P154" i="1"/>
  <c r="Q37" i="2"/>
  <c r="V14" i="5"/>
  <c r="E187" i="8"/>
  <c r="E190" i="8" s="1"/>
  <c r="E272" i="5"/>
  <c r="E108" i="8"/>
  <c r="N278" i="5"/>
  <c r="S66" i="15"/>
  <c r="S52" i="15"/>
  <c r="R285" i="5"/>
  <c r="R171" i="8"/>
  <c r="R177" i="8" s="1"/>
  <c r="S93" i="8"/>
  <c r="S175" i="8" s="1"/>
  <c r="S174" i="8"/>
  <c r="Z140" i="8"/>
  <c r="T18" i="5"/>
  <c r="U9" i="5"/>
  <c r="O190" i="1"/>
  <c r="O83" i="8"/>
  <c r="U25" i="5"/>
  <c r="T134" i="8"/>
  <c r="T56" i="8"/>
  <c r="V6" i="8"/>
  <c r="U70" i="8"/>
  <c r="F149" i="8"/>
  <c r="F37" i="11"/>
  <c r="F38" i="11" s="1"/>
  <c r="D190" i="8"/>
  <c r="V40" i="2"/>
  <c r="T158" i="1"/>
  <c r="V41" i="2" s="1"/>
  <c r="U157" i="1"/>
  <c r="T59" i="5"/>
  <c r="T60" i="5" s="1"/>
  <c r="U58" i="5" s="1"/>
  <c r="AB16" i="5"/>
  <c r="AC16" i="5" s="1"/>
  <c r="O20" i="8"/>
  <c r="O32" i="8" s="1"/>
  <c r="O64" i="8"/>
  <c r="X71" i="2"/>
  <c r="U14" i="3"/>
  <c r="V26" i="8"/>
  <c r="W42" i="2"/>
  <c r="V159" i="1"/>
  <c r="AC11" i="5"/>
  <c r="AD11" i="5" s="1"/>
  <c r="Q38" i="5"/>
  <c r="Q39" i="5" s="1"/>
  <c r="R37" i="5" s="1"/>
  <c r="Q116" i="8"/>
  <c r="Y15" i="5"/>
  <c r="Z15" i="5" s="1"/>
  <c r="O79" i="8"/>
  <c r="O186" i="1"/>
  <c r="AB23" i="5"/>
  <c r="AC23" i="5" s="1"/>
  <c r="Z58" i="8"/>
  <c r="S57" i="8"/>
  <c r="R60" i="8"/>
  <c r="T52" i="8"/>
  <c r="AB21" i="5"/>
  <c r="AC21" i="5" s="1"/>
  <c r="R33" i="11"/>
  <c r="S8" i="11"/>
  <c r="Y17" i="5"/>
  <c r="Z17" i="5" s="1"/>
  <c r="T86" i="5"/>
  <c r="Q35" i="2"/>
  <c r="P10" i="8"/>
  <c r="P152" i="1"/>
  <c r="M10" i="11"/>
  <c r="D10" i="9" l="1"/>
  <c r="D302" i="5"/>
  <c r="D211" i="5" s="1"/>
  <c r="D110" i="8"/>
  <c r="D207" i="5" s="1"/>
  <c r="D175" i="5"/>
  <c r="U174" i="8"/>
  <c r="U93" i="8"/>
  <c r="U175" i="8" s="1"/>
  <c r="AD16" i="5"/>
  <c r="AE16" i="5" s="1"/>
  <c r="P190" i="1"/>
  <c r="P83" i="8"/>
  <c r="Q153" i="1"/>
  <c r="R36" i="2"/>
  <c r="Q11" i="8"/>
  <c r="R38" i="2"/>
  <c r="Q155" i="1"/>
  <c r="Q13" i="8"/>
  <c r="Q76" i="8"/>
  <c r="Q178" i="1"/>
  <c r="AC27" i="5"/>
  <c r="AD27" i="5" s="1"/>
  <c r="AE62" i="5"/>
  <c r="AD66" i="5"/>
  <c r="AE64" i="5" s="1"/>
  <c r="AE65" i="5" s="1"/>
  <c r="T89" i="8"/>
  <c r="T284" i="5"/>
  <c r="T95" i="8"/>
  <c r="T170" i="8"/>
  <c r="P114" i="8"/>
  <c r="P129" i="8" s="1"/>
  <c r="P156" i="8"/>
  <c r="I14" i="11"/>
  <c r="I21" i="11" s="1"/>
  <c r="I23" i="11" s="1"/>
  <c r="I25" i="11" s="1"/>
  <c r="I28" i="11" s="1"/>
  <c r="T136" i="8"/>
  <c r="T242" i="5"/>
  <c r="T256" i="5"/>
  <c r="S11" i="10" s="1"/>
  <c r="S12" i="10" s="1"/>
  <c r="S14" i="10" s="1"/>
  <c r="T117" i="8"/>
  <c r="T288" i="5"/>
  <c r="T179" i="5"/>
  <c r="W94" i="8"/>
  <c r="W176" i="8" s="1"/>
  <c r="W194" i="1"/>
  <c r="Q142" i="8"/>
  <c r="R139" i="8"/>
  <c r="R179" i="1"/>
  <c r="R77" i="8"/>
  <c r="W183" i="1"/>
  <c r="W90" i="8"/>
  <c r="S285" i="5"/>
  <c r="S171" i="8"/>
  <c r="S177" i="8" s="1"/>
  <c r="E269" i="5"/>
  <c r="E184" i="8"/>
  <c r="U59" i="8"/>
  <c r="T66" i="15"/>
  <c r="T52" i="15"/>
  <c r="U10" i="15"/>
  <c r="U24" i="15" s="1"/>
  <c r="U38" i="15" s="1"/>
  <c r="U13" i="13"/>
  <c r="U38" i="13" s="1"/>
  <c r="U63" i="13" s="1"/>
  <c r="U88" i="13" s="1"/>
  <c r="T53" i="5"/>
  <c r="U6" i="5"/>
  <c r="T5" i="12"/>
  <c r="S33" i="11"/>
  <c r="T8" i="11"/>
  <c r="U52" i="8"/>
  <c r="T57" i="8"/>
  <c r="S60" i="8"/>
  <c r="P79" i="8"/>
  <c r="P186" i="1"/>
  <c r="W159" i="1"/>
  <c r="W26" i="8"/>
  <c r="X42" i="2"/>
  <c r="U59" i="5"/>
  <c r="U60" i="5" s="1"/>
  <c r="V58" i="5" s="1"/>
  <c r="F106" i="8"/>
  <c r="F107" i="8"/>
  <c r="F105" i="8"/>
  <c r="AC12" i="5"/>
  <c r="AD12" i="5" s="1"/>
  <c r="AA140" i="8"/>
  <c r="E109" i="8"/>
  <c r="N42" i="8"/>
  <c r="N43" i="8"/>
  <c r="N41" i="8"/>
  <c r="S90" i="5"/>
  <c r="S91" i="5" s="1"/>
  <c r="S92" i="5" s="1"/>
  <c r="R299" i="5"/>
  <c r="O7" i="12"/>
  <c r="O10" i="12" s="1"/>
  <c r="O9" i="11"/>
  <c r="W56" i="5"/>
  <c r="P159" i="8"/>
  <c r="U141" i="8"/>
  <c r="U88" i="8"/>
  <c r="U181" i="1"/>
  <c r="T182" i="1"/>
  <c r="O279" i="5"/>
  <c r="P166" i="1"/>
  <c r="P19" i="8"/>
  <c r="Q49" i="2"/>
  <c r="S71" i="5"/>
  <c r="S72" i="5" s="1"/>
  <c r="T70" i="5" s="1"/>
  <c r="S135" i="8"/>
  <c r="N10" i="11"/>
  <c r="P18" i="8"/>
  <c r="P165" i="1"/>
  <c r="Q48" i="2"/>
  <c r="V45" i="5"/>
  <c r="W43" i="5" s="1"/>
  <c r="W44" i="5" s="1"/>
  <c r="V82" i="5"/>
  <c r="W41" i="5"/>
  <c r="O67" i="8"/>
  <c r="L81" i="8"/>
  <c r="L188" i="1"/>
  <c r="M44" i="8"/>
  <c r="M45" i="8" s="1"/>
  <c r="M46" i="8" s="1"/>
  <c r="H193" i="5"/>
  <c r="Q160" i="8"/>
  <c r="R34" i="2"/>
  <c r="Q151" i="1"/>
  <c r="Q9" i="8"/>
  <c r="V172" i="8"/>
  <c r="V286" i="5"/>
  <c r="W53" i="8"/>
  <c r="E183" i="8"/>
  <c r="E268" i="5"/>
  <c r="Q176" i="1"/>
  <c r="Q74" i="8"/>
  <c r="T298" i="5"/>
  <c r="U84" i="5"/>
  <c r="U85" i="5" s="1"/>
  <c r="AA58" i="8"/>
  <c r="O162" i="8"/>
  <c r="R38" i="5"/>
  <c r="R39" i="5" s="1"/>
  <c r="S37" i="5" s="1"/>
  <c r="R116" i="8"/>
  <c r="O38" i="8"/>
  <c r="O37" i="8"/>
  <c r="O36" i="8"/>
  <c r="O39" i="8" s="1"/>
  <c r="U24" i="8"/>
  <c r="U56" i="8"/>
  <c r="U134" i="8"/>
  <c r="V25" i="5"/>
  <c r="U18" i="5"/>
  <c r="V9" i="5"/>
  <c r="Q12" i="8"/>
  <c r="R37" i="2"/>
  <c r="Q154" i="1"/>
  <c r="P187" i="1"/>
  <c r="P80" i="8"/>
  <c r="AC10" i="5"/>
  <c r="AD10" i="5" s="1"/>
  <c r="F101" i="8"/>
  <c r="F100" i="8"/>
  <c r="F102" i="8"/>
  <c r="V28" i="8"/>
  <c r="V29" i="8" s="1"/>
  <c r="U169" i="1"/>
  <c r="W52" i="2" s="1"/>
  <c r="W51" i="2"/>
  <c r="V168" i="1"/>
  <c r="O278" i="5"/>
  <c r="P17" i="8"/>
  <c r="P164" i="1"/>
  <c r="Q47" i="2"/>
  <c r="D191" i="8"/>
  <c r="G37" i="11"/>
  <c r="G38" i="11" s="1"/>
  <c r="G149" i="8"/>
  <c r="S120" i="8"/>
  <c r="R123" i="8"/>
  <c r="J13" i="11"/>
  <c r="T7" i="11"/>
  <c r="U6" i="11"/>
  <c r="U86" i="5"/>
  <c r="Q45" i="2"/>
  <c r="P15" i="8"/>
  <c r="P162" i="1"/>
  <c r="O281" i="5"/>
  <c r="O165" i="8"/>
  <c r="K164" i="8"/>
  <c r="K280" i="5"/>
  <c r="K277" i="5" s="1"/>
  <c r="K276" i="5" s="1"/>
  <c r="K84" i="8"/>
  <c r="K133" i="8"/>
  <c r="K148" i="8" s="1"/>
  <c r="K12" i="11" s="1"/>
  <c r="Z170" i="1"/>
  <c r="Z30" i="8"/>
  <c r="AA53" i="2"/>
  <c r="P64" i="8"/>
  <c r="S283" i="5"/>
  <c r="J33" i="9"/>
  <c r="J289" i="5"/>
  <c r="J11" i="9" s="1"/>
  <c r="J79" i="5"/>
  <c r="J80" i="5" s="1"/>
  <c r="H15" i="11"/>
  <c r="H20" i="11"/>
  <c r="H22" i="11" s="1"/>
  <c r="H24" i="11" s="1"/>
  <c r="H27" i="11" s="1"/>
  <c r="Q46" i="2"/>
  <c r="P163" i="1"/>
  <c r="P16" i="8"/>
  <c r="P157" i="8"/>
  <c r="Y71" i="2"/>
  <c r="V14" i="3"/>
  <c r="R124" i="5"/>
  <c r="R94" i="5"/>
  <c r="V68" i="5"/>
  <c r="Q152" i="1"/>
  <c r="Q10" i="8"/>
  <c r="R35" i="2"/>
  <c r="AA15" i="5"/>
  <c r="AB15" i="5" s="1"/>
  <c r="V157" i="1"/>
  <c r="V24" i="8"/>
  <c r="W40" i="2"/>
  <c r="U158" i="1"/>
  <c r="W41" i="2" s="1"/>
  <c r="W6" i="8"/>
  <c r="V70" i="8"/>
  <c r="O166" i="8"/>
  <c r="O282" i="5"/>
  <c r="Q75" i="8"/>
  <c r="Q158" i="8" s="1"/>
  <c r="Q177" i="1"/>
  <c r="Z26" i="5"/>
  <c r="AA26" i="5" s="1"/>
  <c r="S74" i="5"/>
  <c r="T31" i="5"/>
  <c r="U193" i="1"/>
  <c r="V192" i="1"/>
  <c r="F39" i="11"/>
  <c r="F40" i="11" s="1"/>
  <c r="T31" i="8"/>
  <c r="T25" i="8"/>
  <c r="Y75" i="2"/>
  <c r="Y76" i="2"/>
  <c r="I191" i="5"/>
  <c r="I193" i="5" s="1"/>
  <c r="I241" i="5"/>
  <c r="I18" i="12"/>
  <c r="AB3" i="2"/>
  <c r="AB60" i="2"/>
  <c r="AC2" i="2"/>
  <c r="AB4" i="2"/>
  <c r="AB74" i="2"/>
  <c r="AA13" i="2"/>
  <c r="AA14" i="2"/>
  <c r="AA8" i="2"/>
  <c r="AA7" i="2"/>
  <c r="AA9" i="2"/>
  <c r="AA12" i="2"/>
  <c r="R36" i="11"/>
  <c r="S11" i="11"/>
  <c r="J96" i="8"/>
  <c r="J177" i="5" s="1"/>
  <c r="J181" i="5" s="1"/>
  <c r="J167" i="8"/>
  <c r="J178" i="8" s="1"/>
  <c r="Q239" i="5"/>
  <c r="Q12" i="12"/>
  <c r="Q189" i="5"/>
  <c r="T93" i="8"/>
  <c r="T175" i="8" s="1"/>
  <c r="T174" i="8"/>
  <c r="U115" i="8"/>
  <c r="U50" i="8"/>
  <c r="V20" i="5"/>
  <c r="S54" i="8"/>
  <c r="T51" i="8"/>
  <c r="S76" i="5"/>
  <c r="T35" i="5"/>
  <c r="Q73" i="8"/>
  <c r="Q175" i="1"/>
  <c r="G34" i="11"/>
  <c r="G35" i="11" s="1"/>
  <c r="G39" i="11" s="1"/>
  <c r="G40" i="11" s="1"/>
  <c r="G130" i="8"/>
  <c r="S18" i="11"/>
  <c r="S32" i="11"/>
  <c r="V88" i="5"/>
  <c r="W47" i="5"/>
  <c r="V51" i="5"/>
  <c r="W49" i="5" s="1"/>
  <c r="W50" i="5" s="1"/>
  <c r="U259" i="5"/>
  <c r="U257" i="5"/>
  <c r="Z28" i="5"/>
  <c r="AA28" i="5" s="1"/>
  <c r="P82" i="8"/>
  <c r="P189" i="1"/>
  <c r="AD22" i="5"/>
  <c r="AE22" i="5" s="1"/>
  <c r="X8" i="12"/>
  <c r="V12" i="3"/>
  <c r="Y69" i="2"/>
  <c r="S95" i="8"/>
  <c r="H37" i="11"/>
  <c r="H38" i="11" s="1"/>
  <c r="H149" i="8"/>
  <c r="E103" i="8"/>
  <c r="E182" i="8"/>
  <c r="E267" i="5"/>
  <c r="I37" i="11" l="1"/>
  <c r="I38" i="11" s="1"/>
  <c r="I149" i="8"/>
  <c r="W88" i="5"/>
  <c r="X47" i="5"/>
  <c r="W51" i="5"/>
  <c r="X49" i="5" s="1"/>
  <c r="X50" i="5" s="1"/>
  <c r="Q114" i="8"/>
  <c r="Q129" i="8" s="1"/>
  <c r="Q156" i="8"/>
  <c r="R177" i="1"/>
  <c r="R75" i="8"/>
  <c r="AA17" i="5"/>
  <c r="AB17" i="5" s="1"/>
  <c r="V6" i="11"/>
  <c r="U7" i="11"/>
  <c r="D192" i="8"/>
  <c r="D188" i="5"/>
  <c r="D190" i="5" s="1"/>
  <c r="D238" i="5"/>
  <c r="D240" i="5" s="1"/>
  <c r="D246" i="5" s="1"/>
  <c r="D32" i="9"/>
  <c r="U31" i="8"/>
  <c r="U25" i="8"/>
  <c r="O42" i="8"/>
  <c r="O43" i="8"/>
  <c r="O41" i="8"/>
  <c r="O44" i="8" s="1"/>
  <c r="O45" i="8" s="1"/>
  <c r="O46" i="8" s="1"/>
  <c r="X56" i="5"/>
  <c r="S38" i="2"/>
  <c r="R13" i="8"/>
  <c r="R155" i="1"/>
  <c r="S36" i="2"/>
  <c r="R153" i="1"/>
  <c r="R11" i="8"/>
  <c r="Q190" i="1"/>
  <c r="Q83" i="8"/>
  <c r="U117" i="8"/>
  <c r="U179" i="5"/>
  <c r="U288" i="5"/>
  <c r="U256" i="5"/>
  <c r="T11" i="10" s="1"/>
  <c r="T12" i="10" s="1"/>
  <c r="T14" i="10" s="1"/>
  <c r="U242" i="5"/>
  <c r="U136" i="8"/>
  <c r="G100" i="8"/>
  <c r="G102" i="8"/>
  <c r="G101" i="8"/>
  <c r="P38" i="8"/>
  <c r="P37" i="8"/>
  <c r="P36" i="8"/>
  <c r="T32" i="11"/>
  <c r="T18" i="11"/>
  <c r="P163" i="8"/>
  <c r="S116" i="8"/>
  <c r="S38" i="5"/>
  <c r="S39" i="5" s="1"/>
  <c r="T37" i="5" s="1"/>
  <c r="AB58" i="8"/>
  <c r="U170" i="8"/>
  <c r="U284" i="5"/>
  <c r="U89" i="8"/>
  <c r="U95" i="8" s="1"/>
  <c r="V141" i="8"/>
  <c r="E110" i="8"/>
  <c r="E207" i="5" s="1"/>
  <c r="E302" i="5"/>
  <c r="E211" i="5" s="1"/>
  <c r="E10" i="9"/>
  <c r="E175" i="5"/>
  <c r="F272" i="5"/>
  <c r="F187" i="8"/>
  <c r="F108" i="8"/>
  <c r="F109" i="8" s="1"/>
  <c r="Q186" i="1"/>
  <c r="Q79" i="8"/>
  <c r="U57" i="8"/>
  <c r="T60" i="8"/>
  <c r="T33" i="11"/>
  <c r="U8" i="11"/>
  <c r="V59" i="8"/>
  <c r="S179" i="1"/>
  <c r="S77" i="8"/>
  <c r="AF62" i="5"/>
  <c r="AE66" i="5"/>
  <c r="AF64" i="5" s="1"/>
  <c r="AF65" i="5" s="1"/>
  <c r="R178" i="1"/>
  <c r="R76" i="8"/>
  <c r="R159" i="8" s="1"/>
  <c r="Z69" i="2"/>
  <c r="Y8" i="12"/>
  <c r="W12" i="3"/>
  <c r="Q82" i="8"/>
  <c r="Q189" i="1"/>
  <c r="V92" i="8"/>
  <c r="P281" i="5"/>
  <c r="P165" i="8"/>
  <c r="R73" i="8"/>
  <c r="R175" i="1"/>
  <c r="V115" i="8"/>
  <c r="W20" i="5"/>
  <c r="V50" i="8"/>
  <c r="J191" i="5"/>
  <c r="J193" i="5" s="1"/>
  <c r="J241" i="5"/>
  <c r="J18" i="12"/>
  <c r="J20" i="12" s="1"/>
  <c r="I20" i="12"/>
  <c r="Z76" i="2"/>
  <c r="Z75" i="2"/>
  <c r="V193" i="1"/>
  <c r="W192" i="1"/>
  <c r="AB26" i="5"/>
  <c r="AC26" i="5" s="1"/>
  <c r="AD21" i="5"/>
  <c r="AE21" i="5" s="1"/>
  <c r="R152" i="1"/>
  <c r="R10" i="8"/>
  <c r="S35" i="2"/>
  <c r="R12" i="12"/>
  <c r="R189" i="5"/>
  <c r="R239" i="5"/>
  <c r="Z71" i="2"/>
  <c r="W14" i="3"/>
  <c r="P279" i="5"/>
  <c r="H130" i="8"/>
  <c r="H34" i="11"/>
  <c r="H35" i="11" s="1"/>
  <c r="H39" i="11" s="1"/>
  <c r="H40" i="11" s="1"/>
  <c r="K167" i="8"/>
  <c r="K178" i="8" s="1"/>
  <c r="K96" i="8"/>
  <c r="K177" i="5" s="1"/>
  <c r="K181" i="5" s="1"/>
  <c r="U298" i="5"/>
  <c r="V84" i="5"/>
  <c r="V85" i="5" s="1"/>
  <c r="F268" i="5"/>
  <c r="F183" i="8"/>
  <c r="S37" i="2"/>
  <c r="R12" i="8"/>
  <c r="R154" i="1"/>
  <c r="V18" i="5"/>
  <c r="W9" i="5"/>
  <c r="R9" i="8"/>
  <c r="R151" i="1"/>
  <c r="S34" i="2"/>
  <c r="L280" i="5"/>
  <c r="L277" i="5" s="1"/>
  <c r="L276" i="5" s="1"/>
  <c r="L164" i="8"/>
  <c r="L133" i="8"/>
  <c r="L148" i="8" s="1"/>
  <c r="L12" i="11" s="1"/>
  <c r="L84" i="8"/>
  <c r="AB140" i="8"/>
  <c r="F273" i="5"/>
  <c r="F188" i="8"/>
  <c r="V52" i="8"/>
  <c r="X90" i="8"/>
  <c r="X183" i="1"/>
  <c r="P7" i="12"/>
  <c r="P10" i="12" s="1"/>
  <c r="P9" i="11"/>
  <c r="T171" i="8"/>
  <c r="T285" i="5"/>
  <c r="T283" i="5" s="1"/>
  <c r="AE27" i="5"/>
  <c r="AF27" i="5" s="1"/>
  <c r="P166" i="8"/>
  <c r="P282" i="5"/>
  <c r="H106" i="8"/>
  <c r="H107" i="8"/>
  <c r="H105" i="8"/>
  <c r="AD2" i="2"/>
  <c r="AC4" i="2"/>
  <c r="AC74" i="2"/>
  <c r="AC3" i="2"/>
  <c r="AC60" i="2"/>
  <c r="V25" i="8"/>
  <c r="V31" i="8" s="1"/>
  <c r="R45" i="2"/>
  <c r="Q15" i="8"/>
  <c r="Q67" i="8" s="1"/>
  <c r="Q162" i="1"/>
  <c r="V181" i="1"/>
  <c r="V88" i="8"/>
  <c r="U182" i="1"/>
  <c r="V59" i="5"/>
  <c r="V60" i="5" s="1"/>
  <c r="W58" i="5" s="1"/>
  <c r="X159" i="1"/>
  <c r="X26" i="8"/>
  <c r="Y42" i="2"/>
  <c r="R160" i="8"/>
  <c r="T177" i="8"/>
  <c r="T76" i="5"/>
  <c r="U35" i="5"/>
  <c r="U51" i="8"/>
  <c r="T54" i="8"/>
  <c r="T11" i="11"/>
  <c r="S36" i="11"/>
  <c r="T74" i="5"/>
  <c r="U31" i="5"/>
  <c r="X6" i="8"/>
  <c r="W70" i="8"/>
  <c r="W157" i="1"/>
  <c r="V158" i="1"/>
  <c r="X41" i="2" s="1"/>
  <c r="X40" i="2"/>
  <c r="W68" i="5"/>
  <c r="AD23" i="5"/>
  <c r="AE23" i="5" s="1"/>
  <c r="R46" i="2"/>
  <c r="Q163" i="1"/>
  <c r="Q16" i="8"/>
  <c r="J297" i="5"/>
  <c r="J296" i="5" s="1"/>
  <c r="K78" i="5"/>
  <c r="AA30" i="8"/>
  <c r="AB53" i="2"/>
  <c r="AA170" i="1"/>
  <c r="P67" i="8"/>
  <c r="S123" i="8"/>
  <c r="T120" i="8"/>
  <c r="V169" i="1"/>
  <c r="X52" i="2" s="1"/>
  <c r="X51" i="2"/>
  <c r="W28" i="8"/>
  <c r="W29" i="8" s="1"/>
  <c r="W168" i="1"/>
  <c r="F269" i="5"/>
  <c r="F184" i="8"/>
  <c r="V56" i="8"/>
  <c r="V134" i="8"/>
  <c r="W25" i="5"/>
  <c r="Q157" i="8"/>
  <c r="W45" i="5"/>
  <c r="X43" i="5" s="1"/>
  <c r="X44" i="5" s="1"/>
  <c r="X41" i="5"/>
  <c r="W82" i="5"/>
  <c r="R48" i="2"/>
  <c r="Q165" i="1"/>
  <c r="Q18" i="8"/>
  <c r="Q19" i="8"/>
  <c r="Q166" i="1"/>
  <c r="R49" i="2"/>
  <c r="S299" i="5"/>
  <c r="T90" i="5"/>
  <c r="T91" i="5" s="1"/>
  <c r="T92" i="5" s="1"/>
  <c r="U52" i="15"/>
  <c r="U66" i="15"/>
  <c r="X194" i="1"/>
  <c r="X94" i="8"/>
  <c r="X176" i="8" s="1"/>
  <c r="E185" i="8"/>
  <c r="E191" i="8" s="1"/>
  <c r="V259" i="5"/>
  <c r="V257" i="5"/>
  <c r="AB14" i="2"/>
  <c r="AB7" i="2"/>
  <c r="AB8" i="2"/>
  <c r="AB13" i="2"/>
  <c r="AB9" i="2"/>
  <c r="AB12" i="2"/>
  <c r="S124" i="5"/>
  <c r="S94" i="5"/>
  <c r="AC15" i="5"/>
  <c r="AD15" i="5" s="1"/>
  <c r="P20" i="8"/>
  <c r="P32" i="8" s="1"/>
  <c r="K13" i="11"/>
  <c r="J21" i="11"/>
  <c r="J23" i="11" s="1"/>
  <c r="J25" i="11" s="1"/>
  <c r="J28" i="11" s="1"/>
  <c r="J14" i="11"/>
  <c r="G106" i="8"/>
  <c r="G107" i="8"/>
  <c r="G105" i="8"/>
  <c r="R47" i="2"/>
  <c r="Q164" i="1"/>
  <c r="Q17" i="8"/>
  <c r="F267" i="5"/>
  <c r="F182" i="8"/>
  <c r="F103" i="8"/>
  <c r="Q187" i="1"/>
  <c r="Q80" i="8"/>
  <c r="Q163" i="8" s="1"/>
  <c r="R176" i="1"/>
  <c r="R74" i="8"/>
  <c r="X53" i="8"/>
  <c r="Q64" i="8"/>
  <c r="M81" i="8"/>
  <c r="M188" i="1"/>
  <c r="V86" i="5"/>
  <c r="T71" i="5"/>
  <c r="T72" i="5" s="1"/>
  <c r="U70" i="5" s="1"/>
  <c r="T135" i="8"/>
  <c r="O10" i="11"/>
  <c r="N44" i="8"/>
  <c r="N45" i="8" s="1"/>
  <c r="N46" i="8" s="1"/>
  <c r="F274" i="5"/>
  <c r="F189" i="8"/>
  <c r="P162" i="8"/>
  <c r="U5" i="12"/>
  <c r="V10" i="15"/>
  <c r="V24" i="15" s="1"/>
  <c r="V38" i="15" s="1"/>
  <c r="U53" i="5"/>
  <c r="V6" i="5"/>
  <c r="V13" i="13"/>
  <c r="V38" i="13" s="1"/>
  <c r="V63" i="13" s="1"/>
  <c r="V88" i="13" s="1"/>
  <c r="W286" i="5"/>
  <c r="W172" i="8"/>
  <c r="S139" i="8"/>
  <c r="R142" i="8"/>
  <c r="I15" i="11"/>
  <c r="I20" i="11"/>
  <c r="I22" i="11" s="1"/>
  <c r="I24" i="11" s="1"/>
  <c r="I27" i="11" s="1"/>
  <c r="P278" i="5"/>
  <c r="Q159" i="8"/>
  <c r="W14" i="5"/>
  <c r="AE11" i="5"/>
  <c r="AF11" i="5" s="1"/>
  <c r="J149" i="8" l="1"/>
  <c r="J37" i="11"/>
  <c r="J38" i="11" s="1"/>
  <c r="E238" i="5"/>
  <c r="E240" i="5" s="1"/>
  <c r="E246" i="5" s="1"/>
  <c r="E192" i="8"/>
  <c r="E188" i="5"/>
  <c r="E190" i="5" s="1"/>
  <c r="E194" i="5" s="1"/>
  <c r="E32" i="9"/>
  <c r="R18" i="8"/>
  <c r="R165" i="1"/>
  <c r="S48" i="2"/>
  <c r="X25" i="5"/>
  <c r="W56" i="8"/>
  <c r="W134" i="8"/>
  <c r="V170" i="8"/>
  <c r="V284" i="5"/>
  <c r="V89" i="8"/>
  <c r="V95" i="8"/>
  <c r="Q42" i="8"/>
  <c r="Q43" i="8"/>
  <c r="Q41" i="8"/>
  <c r="Q44" i="8" s="1"/>
  <c r="AD3" i="2"/>
  <c r="AE2" i="2"/>
  <c r="AD60" i="2"/>
  <c r="AD74" i="2"/>
  <c r="AD4" i="2"/>
  <c r="H274" i="5"/>
  <c r="H189" i="8"/>
  <c r="L13" i="11"/>
  <c r="Q165" i="8"/>
  <c r="Q281" i="5"/>
  <c r="R186" i="1"/>
  <c r="R79" i="8"/>
  <c r="T38" i="5"/>
  <c r="T39" i="5" s="1"/>
  <c r="U37" i="5" s="1"/>
  <c r="T116" i="8"/>
  <c r="E83" i="13"/>
  <c r="E76" i="13"/>
  <c r="E33" i="13"/>
  <c r="E32" i="13"/>
  <c r="E82" i="13"/>
  <c r="E55" i="13"/>
  <c r="E61" i="13"/>
  <c r="E54" i="13"/>
  <c r="E57" i="13"/>
  <c r="E86" i="13"/>
  <c r="E79" i="13"/>
  <c r="E29" i="13"/>
  <c r="E27" i="13"/>
  <c r="E56" i="13"/>
  <c r="E60" i="13"/>
  <c r="E53" i="13"/>
  <c r="E31" i="13"/>
  <c r="E78" i="13"/>
  <c r="E34" i="13"/>
  <c r="E59" i="13"/>
  <c r="E28" i="13"/>
  <c r="E84" i="13"/>
  <c r="E26" i="13"/>
  <c r="E81" i="13"/>
  <c r="E51" i="13"/>
  <c r="E85" i="13"/>
  <c r="E80" i="13"/>
  <c r="E77" i="13"/>
  <c r="E58" i="13"/>
  <c r="E30" i="13"/>
  <c r="E35" i="13"/>
  <c r="E52" i="13"/>
  <c r="E36" i="13"/>
  <c r="I34" i="11"/>
  <c r="I35" i="11" s="1"/>
  <c r="I39" i="11" s="1"/>
  <c r="I40" i="11" s="1"/>
  <c r="I130" i="8"/>
  <c r="T139" i="8"/>
  <c r="S142" i="8"/>
  <c r="M164" i="8"/>
  <c r="M280" i="5"/>
  <c r="M277" i="5" s="1"/>
  <c r="M276" i="5" s="1"/>
  <c r="M133" i="8"/>
  <c r="M148" i="8" s="1"/>
  <c r="M12" i="11" s="1"/>
  <c r="M84" i="8"/>
  <c r="R80" i="8"/>
  <c r="R163" i="8" s="1"/>
  <c r="R187" i="1"/>
  <c r="G189" i="8"/>
  <c r="G274" i="5"/>
  <c r="AF16" i="5"/>
  <c r="AG16" i="5" s="1"/>
  <c r="R166" i="1"/>
  <c r="R19" i="8"/>
  <c r="S49" i="2"/>
  <c r="U120" i="8"/>
  <c r="T123" i="8"/>
  <c r="Y40" i="2"/>
  <c r="X157" i="1"/>
  <c r="W158" i="1"/>
  <c r="Y41" i="2" s="1"/>
  <c r="V51" i="8"/>
  <c r="U54" i="8"/>
  <c r="AC8" i="2"/>
  <c r="AC14" i="2"/>
  <c r="AC7" i="2"/>
  <c r="AC9" i="2"/>
  <c r="AC13" i="2"/>
  <c r="AC12" i="2"/>
  <c r="H273" i="5"/>
  <c r="H188" i="8"/>
  <c r="Y183" i="1"/>
  <c r="Y90" i="8"/>
  <c r="R64" i="8"/>
  <c r="T37" i="2"/>
  <c r="S154" i="1"/>
  <c r="S12" i="8"/>
  <c r="K191" i="5"/>
  <c r="K193" i="5" s="1"/>
  <c r="K241" i="5"/>
  <c r="K18" i="12"/>
  <c r="AA71" i="2"/>
  <c r="X14" i="3"/>
  <c r="S73" i="8"/>
  <c r="S175" i="1"/>
  <c r="AA69" i="2"/>
  <c r="X12" i="3"/>
  <c r="Z8" i="12"/>
  <c r="S76" i="8"/>
  <c r="S159" i="8" s="1"/>
  <c r="S178" i="1"/>
  <c r="S160" i="8"/>
  <c r="F302" i="5"/>
  <c r="F211" i="5" s="1"/>
  <c r="F175" i="5"/>
  <c r="F110" i="8"/>
  <c r="F207" i="5" s="1"/>
  <c r="F10" i="9"/>
  <c r="G268" i="5"/>
  <c r="G183" i="8"/>
  <c r="R190" i="1"/>
  <c r="R83" i="8"/>
  <c r="S155" i="1"/>
  <c r="T38" i="2"/>
  <c r="S13" i="8"/>
  <c r="AE12" i="5"/>
  <c r="AF12" i="5" s="1"/>
  <c r="AE10" i="5"/>
  <c r="AF10" i="5" s="1"/>
  <c r="D194" i="5"/>
  <c r="Q7" i="12"/>
  <c r="Q10" i="12" s="1"/>
  <c r="Q9" i="11"/>
  <c r="AB28" i="5"/>
  <c r="AC28" i="5" s="1"/>
  <c r="U71" i="5"/>
  <c r="U72" i="5" s="1"/>
  <c r="V70" i="5" s="1"/>
  <c r="U135" i="8"/>
  <c r="Q38" i="8"/>
  <c r="Q37" i="8"/>
  <c r="Q36" i="8"/>
  <c r="R157" i="8"/>
  <c r="R279" i="5"/>
  <c r="R164" i="1"/>
  <c r="R17" i="8"/>
  <c r="S47" i="2"/>
  <c r="G273" i="5"/>
  <c r="G188" i="8"/>
  <c r="S12" i="12"/>
  <c r="S189" i="5"/>
  <c r="S239" i="5"/>
  <c r="V179" i="5"/>
  <c r="V117" i="8"/>
  <c r="V288" i="5"/>
  <c r="V242" i="5"/>
  <c r="V256" i="5"/>
  <c r="U11" i="10" s="1"/>
  <c r="U12" i="10" s="1"/>
  <c r="U14" i="10" s="1"/>
  <c r="V136" i="8"/>
  <c r="T299" i="5"/>
  <c r="U90" i="5"/>
  <c r="U91" i="5" s="1"/>
  <c r="U92" i="5" s="1"/>
  <c r="Q279" i="5"/>
  <c r="S46" i="2"/>
  <c r="R16" i="8"/>
  <c r="R163" i="1"/>
  <c r="W24" i="8"/>
  <c r="T124" i="5"/>
  <c r="T94" i="5"/>
  <c r="V35" i="5"/>
  <c r="U76" i="5"/>
  <c r="AF22" i="5"/>
  <c r="AG22" i="5" s="1"/>
  <c r="W59" i="5"/>
  <c r="W60" i="5" s="1"/>
  <c r="X58" i="5" s="1"/>
  <c r="X172" i="8"/>
  <c r="X286" i="5"/>
  <c r="AD26" i="5"/>
  <c r="AE26" i="5" s="1"/>
  <c r="AA76" i="2"/>
  <c r="AA75" i="2"/>
  <c r="W115" i="8"/>
  <c r="W50" i="8"/>
  <c r="X20" i="5"/>
  <c r="R114" i="8"/>
  <c r="R129" i="8" s="1"/>
  <c r="R156" i="8"/>
  <c r="V174" i="8"/>
  <c r="V93" i="8"/>
  <c r="V175" i="8" s="1"/>
  <c r="T77" i="8"/>
  <c r="T179" i="1"/>
  <c r="V8" i="11"/>
  <c r="U33" i="11"/>
  <c r="V57" i="8"/>
  <c r="U60" i="8"/>
  <c r="F190" i="8"/>
  <c r="P39" i="8"/>
  <c r="G184" i="8"/>
  <c r="G269" i="5"/>
  <c r="Y56" i="5"/>
  <c r="D31" i="9"/>
  <c r="D35" i="9" s="1"/>
  <c r="R158" i="8"/>
  <c r="I106" i="8"/>
  <c r="I107" i="8"/>
  <c r="I105" i="8"/>
  <c r="AG11" i="5"/>
  <c r="AH11" i="5" s="1"/>
  <c r="N81" i="8"/>
  <c r="N188" i="1"/>
  <c r="G108" i="8"/>
  <c r="G187" i="8"/>
  <c r="G190" i="8" s="1"/>
  <c r="G272" i="5"/>
  <c r="AC53" i="2"/>
  <c r="AB30" i="8"/>
  <c r="AB170" i="1"/>
  <c r="AF23" i="5"/>
  <c r="AG23" i="5" s="1"/>
  <c r="Y6" i="8"/>
  <c r="X70" i="8"/>
  <c r="Y159" i="1"/>
  <c r="Y26" i="8"/>
  <c r="Z42" i="2"/>
  <c r="W52" i="8"/>
  <c r="AC140" i="8"/>
  <c r="T34" i="2"/>
  <c r="S9" i="8"/>
  <c r="S151" i="1"/>
  <c r="T35" i="2"/>
  <c r="S152" i="1"/>
  <c r="S10" i="8"/>
  <c r="X92" i="8"/>
  <c r="X192" i="1"/>
  <c r="W193" i="1"/>
  <c r="W59" i="8"/>
  <c r="W141" i="8"/>
  <c r="U283" i="5"/>
  <c r="Q166" i="8"/>
  <c r="Q282" i="5"/>
  <c r="W6" i="11"/>
  <c r="V7" i="11"/>
  <c r="X14" i="5"/>
  <c r="Y14" i="5" s="1"/>
  <c r="W6" i="5"/>
  <c r="W10" i="15"/>
  <c r="W24" i="15" s="1"/>
  <c r="W38" i="15" s="1"/>
  <c r="V53" i="5"/>
  <c r="W13" i="13"/>
  <c r="W38" i="13" s="1"/>
  <c r="W63" i="13" s="1"/>
  <c r="W88" i="13" s="1"/>
  <c r="V5" i="12"/>
  <c r="Y53" i="8"/>
  <c r="K14" i="11"/>
  <c r="W169" i="1"/>
  <c r="Y52" i="2" s="1"/>
  <c r="X168" i="1"/>
  <c r="Y51" i="2"/>
  <c r="X28" i="8"/>
  <c r="X29" i="8" s="1"/>
  <c r="X68" i="5"/>
  <c r="X88" i="5" s="1"/>
  <c r="V31" i="5"/>
  <c r="U74" i="5"/>
  <c r="U11" i="11"/>
  <c r="T36" i="11"/>
  <c r="W181" i="1"/>
  <c r="V182" i="1"/>
  <c r="W88" i="8"/>
  <c r="V52" i="15"/>
  <c r="V66" i="15"/>
  <c r="V298" i="5"/>
  <c r="W84" i="5"/>
  <c r="W85" i="5" s="1"/>
  <c r="W86" i="5" s="1"/>
  <c r="Q20" i="8"/>
  <c r="Q32" i="8" s="1"/>
  <c r="S176" i="1"/>
  <c r="S74" i="8"/>
  <c r="F185" i="8"/>
  <c r="F191" i="8" s="1"/>
  <c r="J15" i="11"/>
  <c r="J20" i="11"/>
  <c r="J22" i="11" s="1"/>
  <c r="J24" i="11" s="1"/>
  <c r="J27" i="11" s="1"/>
  <c r="W257" i="5"/>
  <c r="W259" i="5"/>
  <c r="Y194" i="1"/>
  <c r="Y94" i="8"/>
  <c r="Y176" i="8" s="1"/>
  <c r="X82" i="5"/>
  <c r="Y41" i="5"/>
  <c r="X45" i="5"/>
  <c r="Y43" i="5" s="1"/>
  <c r="Y44" i="5" s="1"/>
  <c r="P42" i="8"/>
  <c r="P43" i="8"/>
  <c r="P41" i="8"/>
  <c r="P44" i="8" s="1"/>
  <c r="K289" i="5"/>
  <c r="K11" i="9" s="1"/>
  <c r="K33" i="9"/>
  <c r="K79" i="5"/>
  <c r="K80" i="5" s="1"/>
  <c r="R15" i="8"/>
  <c r="R67" i="8" s="1"/>
  <c r="R162" i="1"/>
  <c r="S45" i="2"/>
  <c r="H108" i="8"/>
  <c r="H187" i="8"/>
  <c r="H190" i="8" s="1"/>
  <c r="H272" i="5"/>
  <c r="P10" i="11"/>
  <c r="L167" i="8"/>
  <c r="L178" i="8" s="1"/>
  <c r="L96" i="8"/>
  <c r="L177" i="5" s="1"/>
  <c r="L181" i="5" s="1"/>
  <c r="X9" i="5"/>
  <c r="W18" i="5"/>
  <c r="H102" i="8"/>
  <c r="H101" i="8"/>
  <c r="H100" i="8"/>
  <c r="W92" i="8"/>
  <c r="R189" i="1"/>
  <c r="R82" i="8"/>
  <c r="AG62" i="5"/>
  <c r="AF66" i="5"/>
  <c r="AG64" i="5" s="1"/>
  <c r="AG65" i="5" s="1"/>
  <c r="Q162" i="8"/>
  <c r="U285" i="5"/>
  <c r="U171" i="8"/>
  <c r="U177" i="8" s="1"/>
  <c r="AC58" i="8"/>
  <c r="G182" i="8"/>
  <c r="G267" i="5"/>
  <c r="G103" i="8"/>
  <c r="T36" i="2"/>
  <c r="S11" i="8"/>
  <c r="S153" i="1"/>
  <c r="U18" i="11"/>
  <c r="U32" i="11"/>
  <c r="S75" i="8"/>
  <c r="S158" i="8" s="1"/>
  <c r="S177" i="1"/>
  <c r="Q278" i="5"/>
  <c r="Y47" i="5"/>
  <c r="X51" i="5"/>
  <c r="Y49" i="5" s="1"/>
  <c r="Y50" i="5" s="1"/>
  <c r="W298" i="5" l="1"/>
  <c r="X84" i="5"/>
  <c r="X85" i="5" s="1"/>
  <c r="X86" i="5" s="1"/>
  <c r="T177" i="1"/>
  <c r="T75" i="8"/>
  <c r="H184" i="8"/>
  <c r="H269" i="5"/>
  <c r="R42" i="8"/>
  <c r="R43" i="8"/>
  <c r="R41" i="8"/>
  <c r="R44" i="8" s="1"/>
  <c r="Z41" i="5"/>
  <c r="Y82" i="5"/>
  <c r="Y45" i="5"/>
  <c r="Z43" i="5" s="1"/>
  <c r="Z44" i="5" s="1"/>
  <c r="F192" i="8"/>
  <c r="F32" i="9"/>
  <c r="F188" i="5"/>
  <c r="F190" i="5" s="1"/>
  <c r="F238" i="5"/>
  <c r="F240" i="5" s="1"/>
  <c r="X181" i="1"/>
  <c r="W182" i="1"/>
  <c r="X88" i="8"/>
  <c r="U94" i="5"/>
  <c r="U124" i="5"/>
  <c r="K15" i="11"/>
  <c r="K20" i="11"/>
  <c r="K22" i="11" s="1"/>
  <c r="K24" i="11" s="1"/>
  <c r="K27" i="11" s="1"/>
  <c r="X10" i="15"/>
  <c r="X24" i="15" s="1"/>
  <c r="X38" i="15" s="1"/>
  <c r="X13" i="13"/>
  <c r="X38" i="13" s="1"/>
  <c r="X63" i="13" s="1"/>
  <c r="X88" i="13" s="1"/>
  <c r="W53" i="5"/>
  <c r="W5" i="12"/>
  <c r="X6" i="5"/>
  <c r="T9" i="8"/>
  <c r="U34" i="2"/>
  <c r="T151" i="1"/>
  <c r="I188" i="8"/>
  <c r="I273" i="5"/>
  <c r="P45" i="8"/>
  <c r="P46" i="8" s="1"/>
  <c r="U179" i="1"/>
  <c r="U77" i="8"/>
  <c r="Y20" i="5"/>
  <c r="X50" i="8"/>
  <c r="X115" i="8"/>
  <c r="Q10" i="11"/>
  <c r="T175" i="1"/>
  <c r="T73" i="8"/>
  <c r="R38" i="8"/>
  <c r="R37" i="8"/>
  <c r="R36" i="8"/>
  <c r="I102" i="8"/>
  <c r="I100" i="8"/>
  <c r="I101" i="8"/>
  <c r="R162" i="8"/>
  <c r="Y51" i="5"/>
  <c r="Z49" i="5" s="1"/>
  <c r="Z50" i="5" s="1"/>
  <c r="Z47" i="5"/>
  <c r="AH62" i="5"/>
  <c r="AH66" i="5" s="1"/>
  <c r="AG66" i="5"/>
  <c r="AH64" i="5" s="1"/>
  <c r="AH65" i="5" s="1"/>
  <c r="G109" i="8"/>
  <c r="V76" i="5"/>
  <c r="W35" i="5"/>
  <c r="S163" i="1"/>
  <c r="S16" i="8"/>
  <c r="T46" i="2"/>
  <c r="U38" i="2"/>
  <c r="T155" i="1"/>
  <c r="T13" i="8"/>
  <c r="T160" i="8" s="1"/>
  <c r="S156" i="8"/>
  <c r="S114" i="8"/>
  <c r="S129" i="8" s="1"/>
  <c r="R20" i="8"/>
  <c r="R32" i="8" s="1"/>
  <c r="M167" i="8"/>
  <c r="M178" i="8" s="1"/>
  <c r="M96" i="8"/>
  <c r="M177" i="5" s="1"/>
  <c r="M181" i="5" s="1"/>
  <c r="S186" i="1"/>
  <c r="S79" i="8"/>
  <c r="S278" i="5" s="1"/>
  <c r="V171" i="8"/>
  <c r="V285" i="5"/>
  <c r="X134" i="8"/>
  <c r="Y25" i="5"/>
  <c r="Z14" i="5" s="1"/>
  <c r="X56" i="8"/>
  <c r="U36" i="2"/>
  <c r="T11" i="8"/>
  <c r="T153" i="1"/>
  <c r="R281" i="5"/>
  <c r="R165" i="8"/>
  <c r="H103" i="8"/>
  <c r="H109" i="8" s="1"/>
  <c r="H182" i="8"/>
  <c r="H267" i="5"/>
  <c r="Y9" i="5"/>
  <c r="X18" i="5"/>
  <c r="J34" i="11"/>
  <c r="J35" i="11" s="1"/>
  <c r="J39" i="11" s="1"/>
  <c r="J40" i="11" s="1"/>
  <c r="J130" i="8"/>
  <c r="T176" i="1"/>
  <c r="T74" i="8"/>
  <c r="W170" i="8"/>
  <c r="W284" i="5"/>
  <c r="W95" i="8"/>
  <c r="W89" i="8"/>
  <c r="X169" i="1"/>
  <c r="Z52" i="2" s="1"/>
  <c r="Y168" i="1"/>
  <c r="Z51" i="2"/>
  <c r="Y28" i="8"/>
  <c r="Y29" i="8" s="1"/>
  <c r="U35" i="2"/>
  <c r="T152" i="1"/>
  <c r="T10" i="8"/>
  <c r="X52" i="8"/>
  <c r="Z26" i="8"/>
  <c r="AA42" i="2"/>
  <c r="Z159" i="1"/>
  <c r="AE15" i="5"/>
  <c r="AF15" i="5" s="1"/>
  <c r="I108" i="8"/>
  <c r="I272" i="5"/>
  <c r="I187" i="8"/>
  <c r="R7" i="12"/>
  <c r="R10" i="12" s="1"/>
  <c r="R9" i="11"/>
  <c r="AH22" i="5"/>
  <c r="Q39" i="8"/>
  <c r="Q45" i="8" s="1"/>
  <c r="Q46" i="8" s="1"/>
  <c r="V71" i="5"/>
  <c r="V72" i="5" s="1"/>
  <c r="W70" i="5" s="1"/>
  <c r="V135" i="8"/>
  <c r="AC17" i="5"/>
  <c r="AD17" i="5" s="1"/>
  <c r="AG12" i="5"/>
  <c r="AH12" i="5" s="1"/>
  <c r="R166" i="8"/>
  <c r="R282" i="5"/>
  <c r="AA8" i="12"/>
  <c r="AB69" i="2"/>
  <c r="Y12" i="3"/>
  <c r="K20" i="12"/>
  <c r="T154" i="1"/>
  <c r="U37" i="2"/>
  <c r="T12" i="8"/>
  <c r="Y286" i="5"/>
  <c r="Y172" i="8"/>
  <c r="W51" i="8"/>
  <c r="V54" i="8"/>
  <c r="X24" i="8"/>
  <c r="M13" i="11"/>
  <c r="V283" i="5"/>
  <c r="F90" i="13"/>
  <c r="F68" i="13"/>
  <c r="F94" i="13"/>
  <c r="F91" i="13"/>
  <c r="F49" i="13"/>
  <c r="F16" i="13"/>
  <c r="F46" i="13"/>
  <c r="F48" i="13"/>
  <c r="F69" i="13"/>
  <c r="F72" i="13"/>
  <c r="F15" i="13"/>
  <c r="F75" i="13"/>
  <c r="F70" i="13"/>
  <c r="F99" i="13"/>
  <c r="F67" i="13"/>
  <c r="F25" i="13"/>
  <c r="F96" i="13"/>
  <c r="F66" i="13"/>
  <c r="F71" i="13"/>
  <c r="F92" i="13"/>
  <c r="F17" i="13"/>
  <c r="F24" i="13"/>
  <c r="F43" i="13"/>
  <c r="F74" i="13"/>
  <c r="F45" i="13"/>
  <c r="F95" i="13"/>
  <c r="F47" i="13"/>
  <c r="F20" i="13"/>
  <c r="F21" i="13"/>
  <c r="F42" i="13"/>
  <c r="F44" i="13"/>
  <c r="F98" i="13"/>
  <c r="F22" i="13"/>
  <c r="F19" i="13"/>
  <c r="F23" i="13"/>
  <c r="F100" i="13"/>
  <c r="F50" i="13"/>
  <c r="F18" i="13"/>
  <c r="F65" i="13"/>
  <c r="F41" i="13"/>
  <c r="F93" i="13"/>
  <c r="F97" i="13"/>
  <c r="F40" i="13"/>
  <c r="F73" i="13"/>
  <c r="J106" i="8"/>
  <c r="J107" i="8"/>
  <c r="J105" i="8"/>
  <c r="L191" i="5"/>
  <c r="L193" i="5" s="1"/>
  <c r="L241" i="5"/>
  <c r="L18" i="12"/>
  <c r="L20" i="12" s="1"/>
  <c r="X259" i="5"/>
  <c r="X257" i="5"/>
  <c r="W7" i="11"/>
  <c r="X6" i="11"/>
  <c r="X93" i="8"/>
  <c r="X175" i="8" s="1"/>
  <c r="X174" i="8"/>
  <c r="N280" i="5"/>
  <c r="N277" i="5" s="1"/>
  <c r="N276" i="5" s="1"/>
  <c r="N164" i="8"/>
  <c r="N84" i="8"/>
  <c r="N133" i="8"/>
  <c r="N148" i="8" s="1"/>
  <c r="N12" i="11" s="1"/>
  <c r="Z56" i="5"/>
  <c r="W57" i="8"/>
  <c r="V60" i="8"/>
  <c r="X59" i="5"/>
  <c r="X60" i="5" s="1"/>
  <c r="Y58" i="5" s="1"/>
  <c r="W25" i="8"/>
  <c r="W31" i="8"/>
  <c r="E94" i="13"/>
  <c r="E97" i="13"/>
  <c r="E90" i="13"/>
  <c r="E17" i="13"/>
  <c r="E98" i="13"/>
  <c r="E74" i="13"/>
  <c r="E67" i="13"/>
  <c r="E47" i="13"/>
  <c r="E46" i="13"/>
  <c r="E93" i="13"/>
  <c r="E48" i="13"/>
  <c r="E44" i="13"/>
  <c r="E16" i="13"/>
  <c r="E40" i="13"/>
  <c r="E96" i="13"/>
  <c r="E73" i="13"/>
  <c r="E66" i="13"/>
  <c r="E15" i="13"/>
  <c r="E95" i="13"/>
  <c r="E99" i="13"/>
  <c r="E100" i="13"/>
  <c r="E42" i="13"/>
  <c r="E69" i="13"/>
  <c r="E50" i="13"/>
  <c r="E72" i="13"/>
  <c r="E22" i="13"/>
  <c r="E19" i="13"/>
  <c r="E41" i="13"/>
  <c r="E91" i="13"/>
  <c r="E45" i="13"/>
  <c r="E75" i="13"/>
  <c r="E43" i="13"/>
  <c r="E25" i="13"/>
  <c r="E20" i="13"/>
  <c r="E24" i="13"/>
  <c r="E71" i="13"/>
  <c r="E92" i="13"/>
  <c r="E21" i="13"/>
  <c r="E68" i="13"/>
  <c r="E70" i="13"/>
  <c r="E23" i="13"/>
  <c r="E18" i="13"/>
  <c r="E49" i="13"/>
  <c r="E65" i="13"/>
  <c r="Y14" i="3"/>
  <c r="AB71" i="2"/>
  <c r="Z40" i="2"/>
  <c r="Y157" i="1"/>
  <c r="X158" i="1"/>
  <c r="Z41" i="2" s="1"/>
  <c r="U123" i="8"/>
  <c r="V120" i="8"/>
  <c r="L21" i="11"/>
  <c r="L23" i="11" s="1"/>
  <c r="L25" i="11" s="1"/>
  <c r="L28" i="11" s="1"/>
  <c r="L14" i="11"/>
  <c r="AD14" i="2"/>
  <c r="AD13" i="2"/>
  <c r="AD7" i="2"/>
  <c r="AD8" i="2"/>
  <c r="AD9" i="2"/>
  <c r="AD12" i="2"/>
  <c r="F57" i="13"/>
  <c r="F59" i="13"/>
  <c r="F82" i="13"/>
  <c r="F76" i="13"/>
  <c r="F28" i="13"/>
  <c r="F79" i="13"/>
  <c r="F29" i="13"/>
  <c r="F78" i="13"/>
  <c r="F26" i="13"/>
  <c r="F77" i="13"/>
  <c r="F27" i="13"/>
  <c r="F83" i="13"/>
  <c r="F35" i="13"/>
  <c r="F86" i="13"/>
  <c r="F36" i="13"/>
  <c r="F85" i="13"/>
  <c r="F60" i="13"/>
  <c r="F84" i="13"/>
  <c r="F56" i="13"/>
  <c r="F30" i="13"/>
  <c r="F32" i="13"/>
  <c r="F52" i="13"/>
  <c r="F58" i="13"/>
  <c r="F61" i="13"/>
  <c r="F53" i="13"/>
  <c r="F34" i="13"/>
  <c r="F54" i="13"/>
  <c r="F80" i="13"/>
  <c r="F31" i="13"/>
  <c r="F81" i="13"/>
  <c r="F55" i="13"/>
  <c r="F33" i="13"/>
  <c r="F51" i="13"/>
  <c r="AD58" i="8"/>
  <c r="W93" i="8"/>
  <c r="W175" i="8" s="1"/>
  <c r="W174" i="8"/>
  <c r="K297" i="5"/>
  <c r="K296" i="5" s="1"/>
  <c r="L78" i="5"/>
  <c r="W242" i="5"/>
  <c r="W288" i="5"/>
  <c r="W117" i="8"/>
  <c r="W179" i="5"/>
  <c r="W256" i="5"/>
  <c r="V11" i="10" s="1"/>
  <c r="V12" i="10" s="1"/>
  <c r="V14" i="10" s="1"/>
  <c r="W136" i="8"/>
  <c r="S157" i="8"/>
  <c r="V74" i="5"/>
  <c r="W31" i="5"/>
  <c r="K21" i="11"/>
  <c r="K23" i="11" s="1"/>
  <c r="K25" i="11" s="1"/>
  <c r="K28" i="11" s="1"/>
  <c r="X59" i="8"/>
  <c r="S64" i="8"/>
  <c r="Y70" i="8"/>
  <c r="Z6" i="8"/>
  <c r="G185" i="8"/>
  <c r="G191" i="8" s="1"/>
  <c r="S82" i="8"/>
  <c r="S189" i="1"/>
  <c r="H268" i="5"/>
  <c r="H183" i="8"/>
  <c r="S162" i="1"/>
  <c r="T45" i="2"/>
  <c r="S15" i="8"/>
  <c r="Z94" i="8"/>
  <c r="Z176" i="8" s="1"/>
  <c r="Z194" i="1"/>
  <c r="V11" i="11"/>
  <c r="U36" i="11"/>
  <c r="Y68" i="5"/>
  <c r="Z53" i="8"/>
  <c r="W66" i="15"/>
  <c r="W52" i="15"/>
  <c r="V18" i="11"/>
  <c r="V32" i="11"/>
  <c r="X141" i="8"/>
  <c r="Y192" i="1"/>
  <c r="X193" i="1"/>
  <c r="AD140" i="8"/>
  <c r="AG27" i="5"/>
  <c r="AH27" i="5" s="1"/>
  <c r="AC170" i="1"/>
  <c r="AC30" i="8"/>
  <c r="AD53" i="2"/>
  <c r="O188" i="1"/>
  <c r="O81" i="8"/>
  <c r="I189" i="8"/>
  <c r="I274" i="5"/>
  <c r="W8" i="11"/>
  <c r="V33" i="11"/>
  <c r="R278" i="5"/>
  <c r="AB76" i="2"/>
  <c r="AB75" i="2"/>
  <c r="T239" i="5"/>
  <c r="T12" i="12"/>
  <c r="T189" i="5"/>
  <c r="V90" i="5"/>
  <c r="V91" i="5" s="1"/>
  <c r="V92" i="5" s="1"/>
  <c r="U299" i="5"/>
  <c r="T47" i="2"/>
  <c r="S164" i="1"/>
  <c r="S17" i="8"/>
  <c r="AD28" i="5"/>
  <c r="AE28" i="5" s="1"/>
  <c r="S190" i="1"/>
  <c r="S83" i="8"/>
  <c r="T178" i="1"/>
  <c r="T76" i="8"/>
  <c r="T159" i="8" s="1"/>
  <c r="AF21" i="5"/>
  <c r="AG21" i="5" s="1"/>
  <c r="Z90" i="8"/>
  <c r="Z183" i="1"/>
  <c r="S166" i="1"/>
  <c r="S19" i="8"/>
  <c r="T49" i="2"/>
  <c r="S187" i="1"/>
  <c r="S80" i="8"/>
  <c r="S163" i="8" s="1"/>
  <c r="U139" i="8"/>
  <c r="T142" i="8"/>
  <c r="U116" i="8"/>
  <c r="U38" i="5"/>
  <c r="U39" i="5" s="1"/>
  <c r="V37" i="5" s="1"/>
  <c r="AE74" i="2"/>
  <c r="AE3" i="2"/>
  <c r="AE60" i="2"/>
  <c r="AE4" i="2"/>
  <c r="AF2" i="2"/>
  <c r="V177" i="8"/>
  <c r="S165" i="1"/>
  <c r="T48" i="2"/>
  <c r="S18" i="8"/>
  <c r="E11" i="12"/>
  <c r="E31" i="9"/>
  <c r="E35" i="9" s="1"/>
  <c r="H302" i="5" l="1"/>
  <c r="H211" i="5" s="1"/>
  <c r="H10" i="9"/>
  <c r="H110" i="8"/>
  <c r="H207" i="5" s="1"/>
  <c r="H175" i="5"/>
  <c r="H176" i="5" s="1"/>
  <c r="H182" i="5" s="1"/>
  <c r="H183" i="5" s="1"/>
  <c r="X298" i="5"/>
  <c r="Y84" i="5"/>
  <c r="Y85" i="5" s="1"/>
  <c r="AE14" i="2"/>
  <c r="AE8" i="2"/>
  <c r="AE9" i="2"/>
  <c r="AE7" i="2"/>
  <c r="AE13" i="2"/>
  <c r="AE12" i="2"/>
  <c r="T80" i="8"/>
  <c r="T187" i="1"/>
  <c r="P188" i="1"/>
  <c r="P81" i="8"/>
  <c r="W11" i="11"/>
  <c r="V36" i="11"/>
  <c r="AA6" i="8"/>
  <c r="Z70" i="8"/>
  <c r="X31" i="5"/>
  <c r="W74" i="5"/>
  <c r="AE58" i="8"/>
  <c r="L149" i="8"/>
  <c r="L37" i="11"/>
  <c r="L38" i="11" s="1"/>
  <c r="AC71" i="2"/>
  <c r="Z14" i="3"/>
  <c r="AA56" i="5"/>
  <c r="W18" i="11"/>
  <c r="W32" i="11"/>
  <c r="J187" i="8"/>
  <c r="J190" i="8" s="1"/>
  <c r="J272" i="5"/>
  <c r="J108" i="8"/>
  <c r="M21" i="11"/>
  <c r="M23" i="11" s="1"/>
  <c r="M25" i="11" s="1"/>
  <c r="M28" i="11" s="1"/>
  <c r="M14" i="11"/>
  <c r="Z9" i="5"/>
  <c r="Y18" i="5"/>
  <c r="S9" i="11"/>
  <c r="S7" i="12"/>
  <c r="S10" i="12" s="1"/>
  <c r="AA41" i="5"/>
  <c r="Z45" i="5"/>
  <c r="AA43" i="5" s="1"/>
  <c r="AA44" i="5" s="1"/>
  <c r="Z82" i="5"/>
  <c r="AF4" i="2"/>
  <c r="AG2" i="2"/>
  <c r="AF3" i="2"/>
  <c r="AF60" i="2"/>
  <c r="AF74" i="2"/>
  <c r="U76" i="8"/>
  <c r="U178" i="1"/>
  <c r="AC76" i="2"/>
  <c r="AC75" i="2"/>
  <c r="Z68" i="5"/>
  <c r="AA194" i="1"/>
  <c r="AA94" i="8"/>
  <c r="AA176" i="8" s="1"/>
  <c r="T162" i="1"/>
  <c r="U45" i="2"/>
  <c r="T15" i="8"/>
  <c r="T20" i="8" s="1"/>
  <c r="T32" i="8" s="1"/>
  <c r="T189" i="1"/>
  <c r="T82" i="8"/>
  <c r="Y59" i="8"/>
  <c r="V94" i="5"/>
  <c r="V124" i="5"/>
  <c r="N13" i="11"/>
  <c r="X136" i="8"/>
  <c r="X256" i="5"/>
  <c r="W11" i="10" s="1"/>
  <c r="W12" i="10" s="1"/>
  <c r="W14" i="10" s="1"/>
  <c r="X179" i="5"/>
  <c r="X117" i="8"/>
  <c r="X288" i="5"/>
  <c r="X242" i="5"/>
  <c r="J274" i="5"/>
  <c r="J189" i="8"/>
  <c r="X51" i="8"/>
  <c r="W54" i="8"/>
  <c r="Z12" i="3"/>
  <c r="AB8" i="12"/>
  <c r="AC69" i="2"/>
  <c r="W71" i="5"/>
  <c r="W72" i="5" s="1"/>
  <c r="X70" i="5" s="1"/>
  <c r="W135" i="8"/>
  <c r="V35" i="2"/>
  <c r="U152" i="1"/>
  <c r="U10" i="8"/>
  <c r="Y169" i="1"/>
  <c r="AA52" i="2" s="1"/>
  <c r="Z168" i="1"/>
  <c r="AA51" i="2"/>
  <c r="Z28" i="8"/>
  <c r="Z29" i="8" s="1"/>
  <c r="J100" i="8"/>
  <c r="J101" i="8"/>
  <c r="J102" i="8"/>
  <c r="T186" i="1"/>
  <c r="T79" i="8"/>
  <c r="M241" i="5"/>
  <c r="M18" i="12"/>
  <c r="M20" i="12" s="1"/>
  <c r="M191" i="5"/>
  <c r="M193" i="5" s="1"/>
  <c r="U155" i="1"/>
  <c r="U13" i="8"/>
  <c r="V38" i="2"/>
  <c r="G10" i="9"/>
  <c r="G302" i="5"/>
  <c r="G211" i="5" s="1"/>
  <c r="G175" i="5"/>
  <c r="G110" i="8"/>
  <c r="G207" i="5" s="1"/>
  <c r="Z88" i="5"/>
  <c r="Z51" i="5"/>
  <c r="AA49" i="5" s="1"/>
  <c r="AA50" i="5" s="1"/>
  <c r="AA47" i="5"/>
  <c r="I269" i="5"/>
  <c r="I184" i="8"/>
  <c r="Z20" i="5"/>
  <c r="Y115" i="8"/>
  <c r="Y50" i="8"/>
  <c r="T64" i="8"/>
  <c r="U189" i="5"/>
  <c r="U239" i="5"/>
  <c r="U12" i="12"/>
  <c r="Y88" i="8"/>
  <c r="Y181" i="1"/>
  <c r="X182" i="1"/>
  <c r="F31" i="9"/>
  <c r="F35" i="9" s="1"/>
  <c r="F11" i="12"/>
  <c r="F13" i="12" s="1"/>
  <c r="F21" i="12" s="1"/>
  <c r="V38" i="5"/>
  <c r="V39" i="5" s="1"/>
  <c r="W37" i="5" s="1"/>
  <c r="V116" i="8"/>
  <c r="U142" i="8"/>
  <c r="V139" i="8"/>
  <c r="S166" i="8"/>
  <c r="S282" i="5"/>
  <c r="T17" i="8"/>
  <c r="T164" i="1"/>
  <c r="U47" i="2"/>
  <c r="W33" i="11"/>
  <c r="X8" i="11"/>
  <c r="Y92" i="8"/>
  <c r="AA53" i="8"/>
  <c r="S281" i="5"/>
  <c r="S165" i="8"/>
  <c r="S38" i="8"/>
  <c r="S37" i="8"/>
  <c r="S36" i="8"/>
  <c r="S279" i="5"/>
  <c r="Y24" i="8"/>
  <c r="W60" i="8"/>
  <c r="X57" i="8"/>
  <c r="N167" i="8"/>
  <c r="N178" i="8" s="1"/>
  <c r="N96" i="8"/>
  <c r="N177" i="5" s="1"/>
  <c r="N181" i="5" s="1"/>
  <c r="Y257" i="5"/>
  <c r="Y259" i="5"/>
  <c r="J273" i="5"/>
  <c r="J188" i="8"/>
  <c r="X25" i="8"/>
  <c r="X31" i="8" s="1"/>
  <c r="U12" i="8"/>
  <c r="U154" i="1"/>
  <c r="V37" i="2"/>
  <c r="I190" i="8"/>
  <c r="AH23" i="5"/>
  <c r="Y52" i="8"/>
  <c r="W177" i="8"/>
  <c r="H185" i="8"/>
  <c r="H191" i="8" s="1"/>
  <c r="U46" i="2"/>
  <c r="T163" i="1"/>
  <c r="T16" i="8"/>
  <c r="AF26" i="5"/>
  <c r="AG26" i="5" s="1"/>
  <c r="Y88" i="5"/>
  <c r="AH16" i="5"/>
  <c r="T278" i="5"/>
  <c r="T156" i="8"/>
  <c r="T114" i="8"/>
  <c r="T129" i="8" s="1"/>
  <c r="U160" i="8"/>
  <c r="Y10" i="15"/>
  <c r="Y24" i="15" s="1"/>
  <c r="Y38" i="15" s="1"/>
  <c r="X5" i="12"/>
  <c r="Y13" i="13"/>
  <c r="Y38" i="13" s="1"/>
  <c r="Y63" i="13" s="1"/>
  <c r="Y88" i="13" s="1"/>
  <c r="X53" i="5"/>
  <c r="Y6" i="5"/>
  <c r="X66" i="15"/>
  <c r="X52" i="15"/>
  <c r="T158" i="8"/>
  <c r="E13" i="12"/>
  <c r="AA183" i="1"/>
  <c r="AA90" i="8"/>
  <c r="AF28" i="5"/>
  <c r="AG28" i="5" s="1"/>
  <c r="AD30" i="8"/>
  <c r="AD170" i="1"/>
  <c r="AE53" i="2"/>
  <c r="Y141" i="8"/>
  <c r="Z24" i="8"/>
  <c r="AA40" i="2"/>
  <c r="Z157" i="1"/>
  <c r="Y158" i="1"/>
  <c r="AA41" i="2" s="1"/>
  <c r="R10" i="11"/>
  <c r="U176" i="1"/>
  <c r="U74" i="8"/>
  <c r="Y56" i="8"/>
  <c r="Y134" i="8"/>
  <c r="Z25" i="5"/>
  <c r="S162" i="8"/>
  <c r="I182" i="8"/>
  <c r="I267" i="5"/>
  <c r="I103" i="8"/>
  <c r="I109" i="8" s="1"/>
  <c r="Z286" i="5"/>
  <c r="Z172" i="8"/>
  <c r="V299" i="5"/>
  <c r="W90" i="5"/>
  <c r="W91" i="5" s="1"/>
  <c r="W92" i="5" s="1"/>
  <c r="Z192" i="1"/>
  <c r="Y193" i="1"/>
  <c r="Z92" i="8"/>
  <c r="V123" i="8"/>
  <c r="W120" i="8"/>
  <c r="U48" i="2"/>
  <c r="T18" i="8"/>
  <c r="T165" i="1"/>
  <c r="T166" i="1"/>
  <c r="U49" i="2"/>
  <c r="T19" i="8"/>
  <c r="AH21" i="5"/>
  <c r="T83" i="8"/>
  <c r="T190" i="1"/>
  <c r="O280" i="5"/>
  <c r="O277" i="5" s="1"/>
  <c r="O276" i="5" s="1"/>
  <c r="O164" i="8"/>
  <c r="O84" i="8"/>
  <c r="O133" i="8"/>
  <c r="O148" i="8" s="1"/>
  <c r="O12" i="11" s="1"/>
  <c r="AE140" i="8"/>
  <c r="S67" i="8"/>
  <c r="G188" i="5"/>
  <c r="G190" i="5" s="1"/>
  <c r="G194" i="5" s="1"/>
  <c r="G238" i="5"/>
  <c r="G240" i="5" s="1"/>
  <c r="G192" i="8"/>
  <c r="G32" i="9"/>
  <c r="S20" i="8"/>
  <c r="S32" i="8" s="1"/>
  <c r="K149" i="8"/>
  <c r="K37" i="11"/>
  <c r="K38" i="11" s="1"/>
  <c r="L79" i="5"/>
  <c r="L80" i="5" s="1"/>
  <c r="L33" i="9"/>
  <c r="L289" i="5"/>
  <c r="L11" i="9" s="1"/>
  <c r="L15" i="11"/>
  <c r="L20" i="11"/>
  <c r="L22" i="11" s="1"/>
  <c r="L24" i="11" s="1"/>
  <c r="L27" i="11" s="1"/>
  <c r="Y59" i="5"/>
  <c r="Y60" i="5" s="1"/>
  <c r="Z58" i="5" s="1"/>
  <c r="Y6" i="11"/>
  <c r="X7" i="11"/>
  <c r="AE17" i="5"/>
  <c r="AF17" i="5" s="1"/>
  <c r="AA159" i="1"/>
  <c r="AA26" i="8"/>
  <c r="AB42" i="2"/>
  <c r="W171" i="8"/>
  <c r="W285" i="5"/>
  <c r="W283" i="5" s="1"/>
  <c r="T157" i="8"/>
  <c r="T279" i="5"/>
  <c r="U11" i="8"/>
  <c r="U153" i="1"/>
  <c r="V36" i="2"/>
  <c r="AG10" i="5"/>
  <c r="AH10" i="5" s="1"/>
  <c r="X35" i="5"/>
  <c r="W76" i="5"/>
  <c r="I268" i="5"/>
  <c r="I183" i="8"/>
  <c r="R39" i="8"/>
  <c r="R45" i="8" s="1"/>
  <c r="R46" i="8" s="1"/>
  <c r="U175" i="1"/>
  <c r="U73" i="8"/>
  <c r="V77" i="8"/>
  <c r="V179" i="1"/>
  <c r="U9" i="8"/>
  <c r="U151" i="1"/>
  <c r="V34" i="2"/>
  <c r="K130" i="8"/>
  <c r="K34" i="11"/>
  <c r="K35" i="11" s="1"/>
  <c r="X89" i="8"/>
  <c r="X95" i="8" s="1"/>
  <c r="X170" i="8"/>
  <c r="X284" i="5"/>
  <c r="F194" i="5"/>
  <c r="Y86" i="5"/>
  <c r="U177" i="1"/>
  <c r="U75" i="8"/>
  <c r="U158" i="8" s="1"/>
  <c r="I175" i="5" l="1"/>
  <c r="I110" i="8"/>
  <c r="I207" i="5" s="1"/>
  <c r="I302" i="5"/>
  <c r="I211" i="5" s="1"/>
  <c r="I10" i="9"/>
  <c r="Z59" i="5"/>
  <c r="Z60" i="5" s="1"/>
  <c r="AA58" i="5" s="1"/>
  <c r="L130" i="8"/>
  <c r="L34" i="11"/>
  <c r="L35" i="11" s="1"/>
  <c r="L39" i="11" s="1"/>
  <c r="L40" i="11" s="1"/>
  <c r="S42" i="8"/>
  <c r="S43" i="8"/>
  <c r="S41" i="8"/>
  <c r="AF140" i="8"/>
  <c r="U165" i="1"/>
  <c r="V48" i="2"/>
  <c r="U18" i="8"/>
  <c r="Y179" i="5"/>
  <c r="Y136" i="8"/>
  <c r="Y256" i="5"/>
  <c r="X11" i="10" s="1"/>
  <c r="X12" i="10" s="1"/>
  <c r="X14" i="10" s="1"/>
  <c r="Y288" i="5"/>
  <c r="Y242" i="5"/>
  <c r="Y117" i="8"/>
  <c r="Y25" i="8"/>
  <c r="Y31" i="8"/>
  <c r="Y8" i="11"/>
  <c r="X33" i="11"/>
  <c r="V142" i="8"/>
  <c r="W139" i="8"/>
  <c r="Z88" i="8"/>
  <c r="Z181" i="1"/>
  <c r="Y182" i="1"/>
  <c r="X71" i="5"/>
  <c r="X72" i="5" s="1"/>
  <c r="Y70" i="5" s="1"/>
  <c r="X135" i="8"/>
  <c r="N21" i="11"/>
  <c r="N23" i="11" s="1"/>
  <c r="N25" i="11" s="1"/>
  <c r="N28" i="11" s="1"/>
  <c r="N14" i="11"/>
  <c r="M37" i="11"/>
  <c r="M38" i="11" s="1"/>
  <c r="M149" i="8"/>
  <c r="W94" i="5"/>
  <c r="W124" i="5"/>
  <c r="X76" i="5"/>
  <c r="Y35" i="5"/>
  <c r="AB26" i="8"/>
  <c r="AB159" i="1"/>
  <c r="AC42" i="2"/>
  <c r="O13" i="11"/>
  <c r="W123" i="8"/>
  <c r="X120" i="8"/>
  <c r="Z141" i="8"/>
  <c r="T7" i="12"/>
  <c r="T10" i="12" s="1"/>
  <c r="T9" i="11"/>
  <c r="Z52" i="8"/>
  <c r="AB53" i="8"/>
  <c r="G59" i="15"/>
  <c r="G60" i="15"/>
  <c r="G34" i="15"/>
  <c r="G27" i="15"/>
  <c r="G19" i="15"/>
  <c r="G12" i="15"/>
  <c r="G16" i="15"/>
  <c r="G78" i="15"/>
  <c r="G71" i="15"/>
  <c r="G63" i="15"/>
  <c r="G56" i="15"/>
  <c r="G48" i="15"/>
  <c r="G41" i="15"/>
  <c r="G33" i="15"/>
  <c r="G45" i="15"/>
  <c r="G46" i="15"/>
  <c r="G35" i="15"/>
  <c r="G28" i="15"/>
  <c r="G20" i="15"/>
  <c r="G13" i="15"/>
  <c r="G75" i="15"/>
  <c r="G68" i="15"/>
  <c r="G72" i="15"/>
  <c r="G64" i="15"/>
  <c r="G57" i="15"/>
  <c r="G49" i="15"/>
  <c r="G42" i="15"/>
  <c r="G17" i="15"/>
  <c r="G32" i="15"/>
  <c r="G36" i="15"/>
  <c r="G21" i="15"/>
  <c r="G76" i="15"/>
  <c r="G61" i="15"/>
  <c r="G58" i="15"/>
  <c r="G43" i="15"/>
  <c r="G73" i="15"/>
  <c r="G26" i="15"/>
  <c r="G22" i="15"/>
  <c r="G77" i="15"/>
  <c r="G62" i="15"/>
  <c r="G47" i="15"/>
  <c r="G44" i="15"/>
  <c r="G18" i="15"/>
  <c r="G15" i="15"/>
  <c r="G55" i="15"/>
  <c r="G30" i="15"/>
  <c r="G40" i="15"/>
  <c r="G29" i="15"/>
  <c r="G69" i="15"/>
  <c r="G50" i="15"/>
  <c r="G74" i="15"/>
  <c r="G70" i="15"/>
  <c r="G14" i="15"/>
  <c r="G54" i="15"/>
  <c r="G31" i="15"/>
  <c r="Y89" i="8"/>
  <c r="Y170" i="8"/>
  <c r="Y284" i="5"/>
  <c r="T38" i="8"/>
  <c r="T37" i="8"/>
  <c r="T36" i="8"/>
  <c r="AA20" i="5"/>
  <c r="Z115" i="8"/>
  <c r="Z50" i="8"/>
  <c r="AB47" i="5"/>
  <c r="AA51" i="5"/>
  <c r="AB49" i="5" s="1"/>
  <c r="AB50" i="5" s="1"/>
  <c r="U79" i="8"/>
  <c r="U186" i="1"/>
  <c r="J267" i="5"/>
  <c r="J103" i="8"/>
  <c r="J109" i="8" s="1"/>
  <c r="J182" i="8"/>
  <c r="AA28" i="8"/>
  <c r="AA29" i="8" s="1"/>
  <c r="AB51" i="2"/>
  <c r="Z169" i="1"/>
  <c r="AB52" i="2" s="1"/>
  <c r="AA168" i="1"/>
  <c r="Z59" i="8"/>
  <c r="V76" i="8"/>
  <c r="V178" i="1"/>
  <c r="AF14" i="2"/>
  <c r="AF9" i="2"/>
  <c r="AF7" i="2"/>
  <c r="AF8" i="2"/>
  <c r="AF13" i="2"/>
  <c r="AF12" i="2"/>
  <c r="AA9" i="5"/>
  <c r="Z18" i="5"/>
  <c r="AB56" i="5"/>
  <c r="L106" i="8"/>
  <c r="L107" i="8"/>
  <c r="L105" i="8"/>
  <c r="X74" i="5"/>
  <c r="Y31" i="5"/>
  <c r="G20" i="13"/>
  <c r="G98" i="13"/>
  <c r="G65" i="13"/>
  <c r="G24" i="13"/>
  <c r="G19" i="13"/>
  <c r="G43" i="13"/>
  <c r="G97" i="13"/>
  <c r="G74" i="13"/>
  <c r="G23" i="13"/>
  <c r="G46" i="13"/>
  <c r="G48" i="13"/>
  <c r="G45" i="13"/>
  <c r="G69" i="13"/>
  <c r="G47" i="13"/>
  <c r="G17" i="13"/>
  <c r="G50" i="13"/>
  <c r="G99" i="13"/>
  <c r="G49" i="13"/>
  <c r="G18" i="13"/>
  <c r="G41" i="13"/>
  <c r="G90" i="13"/>
  <c r="G100" i="13"/>
  <c r="G40" i="13"/>
  <c r="G96" i="13"/>
  <c r="G70" i="13"/>
  <c r="G91" i="13"/>
  <c r="G42" i="13"/>
  <c r="G44" i="13"/>
  <c r="G92" i="13"/>
  <c r="G75" i="13"/>
  <c r="G93" i="13"/>
  <c r="G73" i="13"/>
  <c r="G72" i="13"/>
  <c r="G68" i="13"/>
  <c r="G67" i="13"/>
  <c r="G66" i="13"/>
  <c r="G71" i="13"/>
  <c r="G21" i="13"/>
  <c r="G15" i="13"/>
  <c r="G22" i="13"/>
  <c r="G25" i="13"/>
  <c r="G16" i="13"/>
  <c r="G94" i="13"/>
  <c r="G95" i="13"/>
  <c r="V9" i="8"/>
  <c r="V151" i="1"/>
  <c r="W34" i="2"/>
  <c r="U278" i="5"/>
  <c r="U156" i="8"/>
  <c r="U114" i="8"/>
  <c r="U129" i="8" s="1"/>
  <c r="X32" i="11"/>
  <c r="X18" i="11"/>
  <c r="K106" i="8"/>
  <c r="K107" i="8"/>
  <c r="K105" i="8"/>
  <c r="O96" i="8"/>
  <c r="O177" i="5" s="1"/>
  <c r="O181" i="5" s="1"/>
  <c r="O167" i="8"/>
  <c r="O178" i="8" s="1"/>
  <c r="U83" i="8"/>
  <c r="U190" i="1"/>
  <c r="X90" i="5"/>
  <c r="X91" i="5" s="1"/>
  <c r="X92" i="5" s="1"/>
  <c r="W299" i="5"/>
  <c r="AA286" i="5"/>
  <c r="AA172" i="8"/>
  <c r="Z10" i="15"/>
  <c r="Z24" i="15" s="1"/>
  <c r="Z38" i="15" s="1"/>
  <c r="Y53" i="5"/>
  <c r="Y5" i="12"/>
  <c r="Z6" i="5"/>
  <c r="Z13" i="13"/>
  <c r="Z38" i="13" s="1"/>
  <c r="Z63" i="13" s="1"/>
  <c r="Z88" i="13" s="1"/>
  <c r="Y66" i="15"/>
  <c r="Y52" i="15"/>
  <c r="V154" i="1"/>
  <c r="W37" i="2"/>
  <c r="V12" i="8"/>
  <c r="N241" i="5"/>
  <c r="N191" i="5"/>
  <c r="N193" i="5" s="1"/>
  <c r="N18" i="12"/>
  <c r="N20" i="12" s="1"/>
  <c r="W38" i="2"/>
  <c r="V155" i="1"/>
  <c r="V13" i="8"/>
  <c r="AG15" i="5"/>
  <c r="AH15" i="5" s="1"/>
  <c r="Y51" i="8"/>
  <c r="X54" i="8"/>
  <c r="V12" i="12"/>
  <c r="V189" i="5"/>
  <c r="V239" i="5"/>
  <c r="T281" i="5"/>
  <c r="T165" i="8"/>
  <c r="U15" i="8"/>
  <c r="V45" i="2"/>
  <c r="U162" i="1"/>
  <c r="AA68" i="5"/>
  <c r="U159" i="8"/>
  <c r="AG3" i="2"/>
  <c r="AG60" i="2"/>
  <c r="AG74" i="2"/>
  <c r="AH2" i="2"/>
  <c r="AG4" i="2"/>
  <c r="AA82" i="5"/>
  <c r="AB41" i="5"/>
  <c r="AA45" i="5"/>
  <c r="AB43" i="5" s="1"/>
  <c r="AB44" i="5" s="1"/>
  <c r="AA14" i="3"/>
  <c r="AD71" i="2"/>
  <c r="X11" i="11"/>
  <c r="W36" i="11"/>
  <c r="U80" i="8"/>
  <c r="U187" i="1"/>
  <c r="Y298" i="5"/>
  <c r="Z84" i="5"/>
  <c r="Z85" i="5" s="1"/>
  <c r="K100" i="8"/>
  <c r="K101" i="8"/>
  <c r="K102" i="8"/>
  <c r="W77" i="8"/>
  <c r="W179" i="1"/>
  <c r="L297" i="5"/>
  <c r="L296" i="5" s="1"/>
  <c r="M78" i="5"/>
  <c r="Z134" i="8"/>
  <c r="AA25" i="5"/>
  <c r="Z56" i="8"/>
  <c r="V176" i="1"/>
  <c r="V74" i="8"/>
  <c r="X60" i="8"/>
  <c r="Y57" i="8"/>
  <c r="V47" i="2"/>
  <c r="U164" i="1"/>
  <c r="U17" i="8"/>
  <c r="T162" i="8"/>
  <c r="J183" i="8"/>
  <c r="J268" i="5"/>
  <c r="V10" i="8"/>
  <c r="W35" i="2"/>
  <c r="V152" i="1"/>
  <c r="T67" i="8"/>
  <c r="AB94" i="8"/>
  <c r="AB176" i="8" s="1"/>
  <c r="AB194" i="1"/>
  <c r="Z86" i="5"/>
  <c r="Q188" i="1"/>
  <c r="Q81" i="8"/>
  <c r="X171" i="8"/>
  <c r="X177" i="8" s="1"/>
  <c r="X285" i="5"/>
  <c r="V160" i="8"/>
  <c r="V153" i="1"/>
  <c r="W36" i="2"/>
  <c r="V11" i="8"/>
  <c r="G31" i="9"/>
  <c r="G35" i="9" s="1"/>
  <c r="G11" i="12"/>
  <c r="AA192" i="1"/>
  <c r="Z193" i="1"/>
  <c r="I185" i="8"/>
  <c r="I191" i="8" s="1"/>
  <c r="Z25" i="8"/>
  <c r="Z31" i="8"/>
  <c r="AH28" i="5"/>
  <c r="E21" i="12"/>
  <c r="V46" i="2"/>
  <c r="U163" i="1"/>
  <c r="U16" i="8"/>
  <c r="U20" i="8" s="1"/>
  <c r="U32" i="8" s="1"/>
  <c r="V75" i="8"/>
  <c r="V177" i="1"/>
  <c r="X283" i="5"/>
  <c r="K39" i="11"/>
  <c r="K40" i="11" s="1"/>
  <c r="U64" i="8"/>
  <c r="V73" i="8"/>
  <c r="V175" i="1"/>
  <c r="AG17" i="5"/>
  <c r="AH17" i="5" s="1"/>
  <c r="Y7" i="11"/>
  <c r="Z6" i="11"/>
  <c r="H46" i="13"/>
  <c r="H48" i="13"/>
  <c r="H71" i="13"/>
  <c r="H92" i="13"/>
  <c r="H40" i="13"/>
  <c r="H17" i="13"/>
  <c r="H50" i="13"/>
  <c r="H21" i="13"/>
  <c r="H93" i="13"/>
  <c r="H16" i="13"/>
  <c r="H25" i="13"/>
  <c r="H70" i="13"/>
  <c r="H44" i="13"/>
  <c r="H41" i="13"/>
  <c r="H69" i="13"/>
  <c r="H72" i="13"/>
  <c r="H22" i="13"/>
  <c r="H19" i="13"/>
  <c r="H43" i="13"/>
  <c r="H97" i="13"/>
  <c r="H74" i="13"/>
  <c r="H49" i="13"/>
  <c r="H45" i="13"/>
  <c r="H20" i="13"/>
  <c r="H65" i="13"/>
  <c r="H75" i="13"/>
  <c r="H99" i="13"/>
  <c r="H23" i="13"/>
  <c r="H96" i="13"/>
  <c r="H95" i="13"/>
  <c r="H47" i="13"/>
  <c r="H68" i="13"/>
  <c r="H91" i="13"/>
  <c r="H42" i="13"/>
  <c r="H66" i="13"/>
  <c r="H15" i="13"/>
  <c r="H18" i="13"/>
  <c r="H94" i="13"/>
  <c r="H98" i="13"/>
  <c r="H90" i="13"/>
  <c r="H100" i="13"/>
  <c r="H24" i="13"/>
  <c r="H67" i="13"/>
  <c r="H73" i="13"/>
  <c r="T166" i="8"/>
  <c r="T282" i="5"/>
  <c r="U166" i="1"/>
  <c r="V49" i="2"/>
  <c r="U19" i="8"/>
  <c r="Z174" i="8"/>
  <c r="Z93" i="8"/>
  <c r="Z175" i="8" s="1"/>
  <c r="U157" i="8"/>
  <c r="U279" i="5"/>
  <c r="Z158" i="1"/>
  <c r="AB41" i="2" s="1"/>
  <c r="AA24" i="8"/>
  <c r="AA157" i="1"/>
  <c r="AB40" i="2"/>
  <c r="AF53" i="2"/>
  <c r="AE30" i="8"/>
  <c r="AE170" i="1"/>
  <c r="AB90" i="8"/>
  <c r="AB183" i="1"/>
  <c r="AH26" i="5"/>
  <c r="H238" i="5"/>
  <c r="H240" i="5" s="1"/>
  <c r="H188" i="5"/>
  <c r="H190" i="5" s="1"/>
  <c r="H32" i="9"/>
  <c r="H192" i="8"/>
  <c r="Z257" i="5"/>
  <c r="Z259" i="5"/>
  <c r="S39" i="8"/>
  <c r="Y174" i="8"/>
  <c r="Y93" i="8"/>
  <c r="Y175" i="8" s="1"/>
  <c r="W116" i="8"/>
  <c r="W38" i="5"/>
  <c r="W39" i="5" s="1"/>
  <c r="X37" i="5" s="1"/>
  <c r="J184" i="8"/>
  <c r="J269" i="5"/>
  <c r="AC8" i="12"/>
  <c r="AA12" i="3"/>
  <c r="AD69" i="2"/>
  <c r="U82" i="8"/>
  <c r="U189" i="1"/>
  <c r="AD75" i="2"/>
  <c r="AD76" i="2"/>
  <c r="S10" i="11"/>
  <c r="M15" i="11"/>
  <c r="M20" i="11"/>
  <c r="M22" i="11" s="1"/>
  <c r="M24" i="11" s="1"/>
  <c r="M27" i="11" s="1"/>
  <c r="AF58" i="8"/>
  <c r="AA70" i="8"/>
  <c r="AB6" i="8"/>
  <c r="P164" i="8"/>
  <c r="P280" i="5"/>
  <c r="P277" i="5" s="1"/>
  <c r="P276" i="5" s="1"/>
  <c r="P133" i="8"/>
  <c r="P148" i="8" s="1"/>
  <c r="P12" i="11" s="1"/>
  <c r="P84" i="8"/>
  <c r="T163" i="8"/>
  <c r="AA14" i="5"/>
  <c r="AB14" i="5" s="1"/>
  <c r="J175" i="5" l="1"/>
  <c r="J10" i="9"/>
  <c r="J110" i="8"/>
  <c r="J207" i="5" s="1"/>
  <c r="J302" i="5"/>
  <c r="J211" i="5" s="1"/>
  <c r="X116" i="8"/>
  <c r="X38" i="5"/>
  <c r="X39" i="5" s="1"/>
  <c r="Y37" i="5" s="1"/>
  <c r="V114" i="8"/>
  <c r="V129" i="8" s="1"/>
  <c r="V156" i="8"/>
  <c r="V163" i="1"/>
  <c r="W46" i="2"/>
  <c r="V16" i="8"/>
  <c r="AA84" i="5"/>
  <c r="AA85" i="5" s="1"/>
  <c r="Z298" i="5"/>
  <c r="W152" i="1"/>
  <c r="W10" i="8"/>
  <c r="X35" i="2"/>
  <c r="W47" i="2"/>
  <c r="V17" i="8"/>
  <c r="V20" i="8" s="1"/>
  <c r="V32" i="8" s="1"/>
  <c r="V164" i="1"/>
  <c r="K184" i="8"/>
  <c r="K269" i="5"/>
  <c r="Y11" i="11"/>
  <c r="X36" i="11"/>
  <c r="AA86" i="5"/>
  <c r="AB68" i="5"/>
  <c r="K189" i="8"/>
  <c r="K274" i="5"/>
  <c r="X124" i="5"/>
  <c r="X94" i="5"/>
  <c r="AA141" i="8"/>
  <c r="N37" i="11"/>
  <c r="N38" i="11" s="1"/>
  <c r="N149" i="8"/>
  <c r="AA88" i="8"/>
  <c r="AA181" i="1"/>
  <c r="Z182" i="1"/>
  <c r="V18" i="8"/>
  <c r="V165" i="1"/>
  <c r="W48" i="2"/>
  <c r="AA59" i="5"/>
  <c r="AA60" i="5" s="1"/>
  <c r="AB58" i="5" s="1"/>
  <c r="M130" i="8"/>
  <c r="M34" i="11"/>
  <c r="M35" i="11" s="1"/>
  <c r="M39" i="11" s="1"/>
  <c r="M40" i="11" s="1"/>
  <c r="V166" i="1"/>
  <c r="V19" i="8"/>
  <c r="W49" i="2"/>
  <c r="U38" i="8"/>
  <c r="U37" i="8"/>
  <c r="U36" i="8"/>
  <c r="U39" i="8" s="1"/>
  <c r="W177" i="1"/>
  <c r="W75" i="8"/>
  <c r="G13" i="12"/>
  <c r="AA56" i="8"/>
  <c r="AA134" i="8"/>
  <c r="AB25" i="5"/>
  <c r="K183" i="8"/>
  <c r="K268" i="5"/>
  <c r="AG7" i="2"/>
  <c r="AG13" i="2"/>
  <c r="AG9" i="2"/>
  <c r="AG8" i="2"/>
  <c r="AG14" i="2"/>
  <c r="AG12" i="2"/>
  <c r="V162" i="1"/>
  <c r="W45" i="2"/>
  <c r="V15" i="8"/>
  <c r="L272" i="5"/>
  <c r="L108" i="8"/>
  <c r="L187" i="8"/>
  <c r="AC47" i="5"/>
  <c r="AB51" i="5"/>
  <c r="AC49" i="5" s="1"/>
  <c r="AC50" i="5" s="1"/>
  <c r="AB88" i="5"/>
  <c r="AC53" i="8"/>
  <c r="T10" i="11"/>
  <c r="X123" i="8"/>
  <c r="Y120" i="8"/>
  <c r="Z35" i="5"/>
  <c r="Y76" i="5"/>
  <c r="M106" i="8"/>
  <c r="M107" i="8"/>
  <c r="M105" i="8"/>
  <c r="Z170" i="8"/>
  <c r="Z284" i="5"/>
  <c r="Z89" i="8"/>
  <c r="Z95" i="8" s="1"/>
  <c r="P96" i="8"/>
  <c r="P177" i="5" s="1"/>
  <c r="P181" i="5" s="1"/>
  <c r="P167" i="8"/>
  <c r="P178" i="8" s="1"/>
  <c r="AC6" i="8"/>
  <c r="AB70" i="8"/>
  <c r="AE76" i="2"/>
  <c r="AE75" i="2"/>
  <c r="AD8" i="12"/>
  <c r="AB12" i="3"/>
  <c r="AE69" i="2"/>
  <c r="Z242" i="5"/>
  <c r="Z136" i="8"/>
  <c r="Z117" i="8"/>
  <c r="Z179" i="5"/>
  <c r="Z256" i="5"/>
  <c r="Y11" i="10" s="1"/>
  <c r="Y12" i="10" s="1"/>
  <c r="Y14" i="10" s="1"/>
  <c r="Z288" i="5"/>
  <c r="H194" i="5"/>
  <c r="AC90" i="8"/>
  <c r="AC183" i="1"/>
  <c r="V158" i="8"/>
  <c r="AA92" i="8"/>
  <c r="Q280" i="5"/>
  <c r="Q277" i="5" s="1"/>
  <c r="Q276" i="5" s="1"/>
  <c r="Q164" i="8"/>
  <c r="Q84" i="8"/>
  <c r="Q133" i="8"/>
  <c r="Q148" i="8" s="1"/>
  <c r="Q12" i="11" s="1"/>
  <c r="V157" i="8"/>
  <c r="X77" i="8"/>
  <c r="X179" i="1"/>
  <c r="K182" i="8"/>
  <c r="K103" i="8"/>
  <c r="K267" i="5"/>
  <c r="U163" i="8"/>
  <c r="AH4" i="2"/>
  <c r="AH60" i="2"/>
  <c r="AH74" i="2"/>
  <c r="AI2" i="2"/>
  <c r="AH3" i="2"/>
  <c r="V190" i="1"/>
  <c r="V83" i="8"/>
  <c r="U7" i="12"/>
  <c r="U10" i="12" s="1"/>
  <c r="U9" i="11"/>
  <c r="X34" i="2"/>
  <c r="W151" i="1"/>
  <c r="W9" i="8"/>
  <c r="L189" i="8"/>
  <c r="L274" i="5"/>
  <c r="W178" i="1"/>
  <c r="W76" i="8"/>
  <c r="W159" i="8" s="1"/>
  <c r="V186" i="1"/>
  <c r="V79" i="8"/>
  <c r="AA88" i="5"/>
  <c r="T39" i="8"/>
  <c r="AD42" i="2"/>
  <c r="AC159" i="1"/>
  <c r="AC26" i="8"/>
  <c r="Y71" i="5"/>
  <c r="Y72" i="5" s="1"/>
  <c r="Z70" i="5" s="1"/>
  <c r="Y135" i="8"/>
  <c r="Y33" i="11"/>
  <c r="Z8" i="11"/>
  <c r="AG140" i="8"/>
  <c r="AC14" i="5"/>
  <c r="U281" i="5"/>
  <c r="U165" i="8"/>
  <c r="S45" i="8"/>
  <c r="S46" i="8" s="1"/>
  <c r="H31" i="9"/>
  <c r="H35" i="9" s="1"/>
  <c r="H11" i="12"/>
  <c r="H13" i="12" s="1"/>
  <c r="H21" i="12" s="1"/>
  <c r="AG53" i="2"/>
  <c r="AF170" i="1"/>
  <c r="AF30" i="8"/>
  <c r="AB24" i="8"/>
  <c r="AC40" i="2"/>
  <c r="AA158" i="1"/>
  <c r="AC41" i="2" s="1"/>
  <c r="AB157" i="1"/>
  <c r="AA6" i="11"/>
  <c r="Z7" i="11"/>
  <c r="AB92" i="8"/>
  <c r="AA193" i="1"/>
  <c r="AB192" i="1"/>
  <c r="X37" i="2"/>
  <c r="W154" i="1"/>
  <c r="W12" i="8"/>
  <c r="Z66" i="15"/>
  <c r="Z52" i="15"/>
  <c r="O191" i="5"/>
  <c r="O193" i="5" s="1"/>
  <c r="O241" i="5"/>
  <c r="O18" i="12"/>
  <c r="O20" i="12" s="1"/>
  <c r="AA59" i="8"/>
  <c r="Y285" i="5"/>
  <c r="Y283" i="5" s="1"/>
  <c r="Y171" i="8"/>
  <c r="Y177" i="8" s="1"/>
  <c r="AA52" i="8"/>
  <c r="AG58" i="8"/>
  <c r="AA259" i="5"/>
  <c r="AA257" i="5"/>
  <c r="AA25" i="8"/>
  <c r="AA31" i="8" s="1"/>
  <c r="Y32" i="11"/>
  <c r="Y18" i="11"/>
  <c r="I238" i="5"/>
  <c r="I240" i="5" s="1"/>
  <c r="I192" i="8"/>
  <c r="I32" i="9"/>
  <c r="I188" i="5"/>
  <c r="I190" i="5" s="1"/>
  <c r="I194" i="5" s="1"/>
  <c r="X36" i="2"/>
  <c r="W153" i="1"/>
  <c r="W11" i="8"/>
  <c r="AC94" i="8"/>
  <c r="AC176" i="8" s="1"/>
  <c r="AC194" i="1"/>
  <c r="V187" i="1"/>
  <c r="V80" i="8"/>
  <c r="V163" i="8" s="1"/>
  <c r="AA6" i="5"/>
  <c r="AA10" i="15"/>
  <c r="AA24" i="15" s="1"/>
  <c r="AA38" i="15" s="1"/>
  <c r="Z5" i="12"/>
  <c r="AA13" i="13"/>
  <c r="AA38" i="13" s="1"/>
  <c r="AA63" i="13" s="1"/>
  <c r="AA88" i="13" s="1"/>
  <c r="Z53" i="5"/>
  <c r="Y90" i="5"/>
  <c r="Y91" i="5" s="1"/>
  <c r="Y92" i="5" s="1"/>
  <c r="X299" i="5"/>
  <c r="K273" i="5"/>
  <c r="K188" i="8"/>
  <c r="AC56" i="5"/>
  <c r="AB20" i="5"/>
  <c r="AA50" i="8"/>
  <c r="AA115" i="8"/>
  <c r="P13" i="11"/>
  <c r="V189" i="1"/>
  <c r="V82" i="8"/>
  <c r="AB172" i="8"/>
  <c r="AB286" i="5"/>
  <c r="W73" i="8"/>
  <c r="W175" i="1"/>
  <c r="F41" i="15"/>
  <c r="F31" i="15"/>
  <c r="F76" i="15"/>
  <c r="F69" i="15"/>
  <c r="F59" i="15"/>
  <c r="F64" i="15"/>
  <c r="F57" i="15"/>
  <c r="F48" i="15"/>
  <c r="F32" i="15"/>
  <c r="F36" i="15"/>
  <c r="F29" i="15"/>
  <c r="F20" i="15"/>
  <c r="F13" i="15"/>
  <c r="F74" i="15"/>
  <c r="F42" i="15"/>
  <c r="F18" i="15"/>
  <c r="F77" i="15"/>
  <c r="F70" i="15"/>
  <c r="F61" i="15"/>
  <c r="F54" i="15"/>
  <c r="F58" i="15"/>
  <c r="F49" i="15"/>
  <c r="F33" i="15"/>
  <c r="F26" i="15"/>
  <c r="F30" i="15"/>
  <c r="F21" i="15"/>
  <c r="F14" i="15"/>
  <c r="F60" i="15"/>
  <c r="F73" i="15"/>
  <c r="F71" i="15"/>
  <c r="F55" i="15"/>
  <c r="F50" i="15"/>
  <c r="F27" i="15"/>
  <c r="F22" i="15"/>
  <c r="F46" i="15"/>
  <c r="F75" i="15"/>
  <c r="F72" i="15"/>
  <c r="F56" i="15"/>
  <c r="F40" i="15"/>
  <c r="F28" i="15"/>
  <c r="F12" i="15"/>
  <c r="F68" i="15"/>
  <c r="F47" i="15"/>
  <c r="F19" i="15"/>
  <c r="F63" i="15"/>
  <c r="F16" i="15"/>
  <c r="F43" i="15"/>
  <c r="F62" i="15"/>
  <c r="F34" i="15"/>
  <c r="F15" i="15"/>
  <c r="F44" i="15"/>
  <c r="F35" i="15"/>
  <c r="F17" i="15"/>
  <c r="F78" i="15"/>
  <c r="F45" i="15"/>
  <c r="R188" i="1"/>
  <c r="R81" i="8"/>
  <c r="T42" i="8"/>
  <c r="T43" i="8"/>
  <c r="T41" i="8"/>
  <c r="Y60" i="8"/>
  <c r="Z57" i="8"/>
  <c r="W176" i="1"/>
  <c r="W74" i="8"/>
  <c r="M33" i="9"/>
  <c r="M289" i="5"/>
  <c r="M11" i="9" s="1"/>
  <c r="M79" i="5"/>
  <c r="M80" i="5" s="1"/>
  <c r="AB14" i="3"/>
  <c r="AE71" i="2"/>
  <c r="AB82" i="5"/>
  <c r="AB45" i="5"/>
  <c r="AC43" i="5" s="1"/>
  <c r="AC44" i="5" s="1"/>
  <c r="AC41" i="5"/>
  <c r="U67" i="8"/>
  <c r="Y54" i="8"/>
  <c r="Z51" i="8"/>
  <c r="W155" i="1"/>
  <c r="X38" i="2"/>
  <c r="W13" i="8"/>
  <c r="W160" i="8" s="1"/>
  <c r="U166" i="8"/>
  <c r="U282" i="5"/>
  <c r="K187" i="8"/>
  <c r="K108" i="8"/>
  <c r="K109" i="8" s="1"/>
  <c r="K272" i="5"/>
  <c r="V64" i="8"/>
  <c r="Z31" i="5"/>
  <c r="Y74" i="5"/>
  <c r="L188" i="8"/>
  <c r="L273" i="5"/>
  <c r="AB9" i="5"/>
  <c r="AA18" i="5"/>
  <c r="V159" i="8"/>
  <c r="AB168" i="1"/>
  <c r="AB28" i="8"/>
  <c r="AB29" i="8" s="1"/>
  <c r="AC51" i="2"/>
  <c r="AA169" i="1"/>
  <c r="AC52" i="2" s="1"/>
  <c r="J185" i="8"/>
  <c r="J191" i="8" s="1"/>
  <c r="U162" i="8"/>
  <c r="Y95" i="8"/>
  <c r="O21" i="11"/>
  <c r="O23" i="11" s="1"/>
  <c r="O25" i="11" s="1"/>
  <c r="O28" i="11" s="1"/>
  <c r="O14" i="11"/>
  <c r="W12" i="12"/>
  <c r="W239" i="5"/>
  <c r="W189" i="5"/>
  <c r="N15" i="11"/>
  <c r="N20" i="11"/>
  <c r="N22" i="11" s="1"/>
  <c r="N24" i="11" s="1"/>
  <c r="N27" i="11" s="1"/>
  <c r="X139" i="8"/>
  <c r="W142" i="8"/>
  <c r="S44" i="8"/>
  <c r="L101" i="8"/>
  <c r="L102" i="8"/>
  <c r="L100" i="8"/>
  <c r="X142" i="8" l="1"/>
  <c r="Y139" i="8"/>
  <c r="J188" i="5"/>
  <c r="J190" i="5" s="1"/>
  <c r="J194" i="5" s="1"/>
  <c r="J238" i="5"/>
  <c r="J240" i="5" s="1"/>
  <c r="J192" i="8"/>
  <c r="J32" i="9"/>
  <c r="AD41" i="5"/>
  <c r="AC82" i="5"/>
  <c r="AC45" i="5"/>
  <c r="AD43" i="5" s="1"/>
  <c r="AD44" i="5" s="1"/>
  <c r="AC14" i="3"/>
  <c r="AF71" i="2"/>
  <c r="Z60" i="8"/>
  <c r="AA57" i="8"/>
  <c r="V281" i="5"/>
  <c r="V165" i="8"/>
  <c r="AB50" i="8"/>
  <c r="AC20" i="5"/>
  <c r="AB115" i="8"/>
  <c r="AH58" i="8"/>
  <c r="Z18" i="11"/>
  <c r="Z32" i="11"/>
  <c r="AH140" i="8"/>
  <c r="AI60" i="2"/>
  <c r="AI4" i="2"/>
  <c r="AJ2" i="2"/>
  <c r="AI3" i="2"/>
  <c r="AI74" i="2"/>
  <c r="Y77" i="8"/>
  <c r="Y179" i="1"/>
  <c r="AC70" i="8"/>
  <c r="AD6" i="8"/>
  <c r="X177" i="1"/>
  <c r="X75" i="8"/>
  <c r="M102" i="8"/>
  <c r="M100" i="8"/>
  <c r="M101" i="8"/>
  <c r="W165" i="1"/>
  <c r="X48" i="2"/>
  <c r="W18" i="8"/>
  <c r="AA298" i="5"/>
  <c r="AB84" i="5"/>
  <c r="AB85" i="5" s="1"/>
  <c r="X10" i="8"/>
  <c r="Y35" i="2"/>
  <c r="X152" i="1"/>
  <c r="N130" i="8"/>
  <c r="N34" i="11"/>
  <c r="N35" i="11" s="1"/>
  <c r="N39" i="11" s="1"/>
  <c r="N40" i="11" s="1"/>
  <c r="K175" i="5"/>
  <c r="K302" i="5"/>
  <c r="K211" i="5" s="1"/>
  <c r="K10" i="9"/>
  <c r="K110" i="8"/>
  <c r="K207" i="5" s="1"/>
  <c r="W189" i="1"/>
  <c r="W82" i="8"/>
  <c r="AA136" i="8"/>
  <c r="AA117" i="8"/>
  <c r="AA256" i="5"/>
  <c r="Z11" i="10" s="1"/>
  <c r="Z12" i="10" s="1"/>
  <c r="Z14" i="10" s="1"/>
  <c r="AA288" i="5"/>
  <c r="AA242" i="5"/>
  <c r="AA179" i="5"/>
  <c r="AB52" i="8"/>
  <c r="AB193" i="1"/>
  <c r="AC192" i="1"/>
  <c r="AA7" i="11"/>
  <c r="AB6" i="11"/>
  <c r="AB31" i="8"/>
  <c r="AB25" i="8"/>
  <c r="AD26" i="8"/>
  <c r="AD159" i="1"/>
  <c r="AE42" i="2"/>
  <c r="X76" i="8"/>
  <c r="X178" i="1"/>
  <c r="U10" i="11"/>
  <c r="V166" i="8"/>
  <c r="V282" i="5"/>
  <c r="Q167" i="8"/>
  <c r="Q178" i="8" s="1"/>
  <c r="Q96" i="8"/>
  <c r="Q177" i="5" s="1"/>
  <c r="Q181" i="5" s="1"/>
  <c r="AA174" i="8"/>
  <c r="AA93" i="8"/>
  <c r="AA175" i="8" s="1"/>
  <c r="AF75" i="2"/>
  <c r="AF76" i="2"/>
  <c r="P191" i="5"/>
  <c r="P193" i="5" s="1"/>
  <c r="P18" i="12"/>
  <c r="P20" i="12" s="1"/>
  <c r="P241" i="5"/>
  <c r="M274" i="5"/>
  <c r="M189" i="8"/>
  <c r="Z76" i="5"/>
  <c r="AA35" i="5"/>
  <c r="L190" i="8"/>
  <c r="W162" i="1"/>
  <c r="W15" i="8"/>
  <c r="X45" i="2"/>
  <c r="AB59" i="5"/>
  <c r="AB60" i="5" s="1"/>
  <c r="AC58" i="5" s="1"/>
  <c r="N106" i="8"/>
  <c r="N107" i="8"/>
  <c r="N105" i="8"/>
  <c r="W16" i="8"/>
  <c r="W163" i="1"/>
  <c r="X46" i="2"/>
  <c r="V7" i="12"/>
  <c r="V10" i="12" s="1"/>
  <c r="V9" i="11"/>
  <c r="L267" i="5"/>
  <c r="L182" i="8"/>
  <c r="L185" i="8" s="1"/>
  <c r="L191" i="8" s="1"/>
  <c r="L103" i="8"/>
  <c r="L109" i="8" s="1"/>
  <c r="O15" i="11"/>
  <c r="O20" i="11"/>
  <c r="O22" i="11" s="1"/>
  <c r="O24" i="11" s="1"/>
  <c r="O27" i="11" s="1"/>
  <c r="Y94" i="5"/>
  <c r="Y124" i="5"/>
  <c r="V38" i="8"/>
  <c r="V37" i="8"/>
  <c r="V36" i="8"/>
  <c r="V39" i="8" s="1"/>
  <c r="K190" i="8"/>
  <c r="AB86" i="5"/>
  <c r="W157" i="8"/>
  <c r="R164" i="8"/>
  <c r="R280" i="5"/>
  <c r="R277" i="5" s="1"/>
  <c r="R276" i="5" s="1"/>
  <c r="R133" i="8"/>
  <c r="R148" i="8" s="1"/>
  <c r="R12" i="11" s="1"/>
  <c r="R84" i="8"/>
  <c r="X175" i="1"/>
  <c r="X73" i="8"/>
  <c r="AD56" i="5"/>
  <c r="Y299" i="5"/>
  <c r="Z90" i="5"/>
  <c r="Z91" i="5" s="1"/>
  <c r="Z92" i="5" s="1"/>
  <c r="AA66" i="15"/>
  <c r="AA52" i="15"/>
  <c r="W80" i="8"/>
  <c r="W163" i="8" s="1"/>
  <c r="W187" i="1"/>
  <c r="X11" i="8"/>
  <c r="Y36" i="2"/>
  <c r="X153" i="1"/>
  <c r="I31" i="9"/>
  <c r="I35" i="9" s="1"/>
  <c r="I11" i="12"/>
  <c r="AB259" i="5"/>
  <c r="AB257" i="5"/>
  <c r="AB59" i="8"/>
  <c r="AC157" i="1"/>
  <c r="AB158" i="1"/>
  <c r="AD41" i="2" s="1"/>
  <c r="AD40" i="2"/>
  <c r="I77" i="15"/>
  <c r="I70" i="15"/>
  <c r="I62" i="15"/>
  <c r="I55" i="15"/>
  <c r="I47" i="15"/>
  <c r="I40" i="15"/>
  <c r="I44" i="15"/>
  <c r="I46" i="15"/>
  <c r="I26" i="15"/>
  <c r="I30" i="15"/>
  <c r="I22" i="15"/>
  <c r="I15" i="15"/>
  <c r="I18" i="15"/>
  <c r="I32" i="15"/>
  <c r="I78" i="15"/>
  <c r="I71" i="15"/>
  <c r="I63" i="15"/>
  <c r="I56" i="15"/>
  <c r="I48" i="15"/>
  <c r="I41" i="15"/>
  <c r="I33" i="15"/>
  <c r="I34" i="15"/>
  <c r="I27" i="15"/>
  <c r="I19" i="15"/>
  <c r="I12" i="15"/>
  <c r="I16" i="15"/>
  <c r="I74" i="15"/>
  <c r="I68" i="15"/>
  <c r="I64" i="15"/>
  <c r="I49" i="15"/>
  <c r="I73" i="15"/>
  <c r="I28" i="15"/>
  <c r="I13" i="15"/>
  <c r="I59" i="15"/>
  <c r="I69" i="15"/>
  <c r="I54" i="15"/>
  <c r="I50" i="15"/>
  <c r="I60" i="15"/>
  <c r="I29" i="15"/>
  <c r="I14" i="15"/>
  <c r="I45" i="15"/>
  <c r="I76" i="15"/>
  <c r="I58" i="15"/>
  <c r="I36" i="15"/>
  <c r="I17" i="15"/>
  <c r="I43" i="15"/>
  <c r="I72" i="15"/>
  <c r="I42" i="15"/>
  <c r="I20" i="15"/>
  <c r="I61" i="15"/>
  <c r="I21" i="15"/>
  <c r="I31" i="15"/>
  <c r="I35" i="15"/>
  <c r="I75" i="15"/>
  <c r="I57" i="15"/>
  <c r="Z71" i="5"/>
  <c r="Z72" i="5" s="1"/>
  <c r="AA70" i="5" s="1"/>
  <c r="Z135" i="8"/>
  <c r="V162" i="8"/>
  <c r="W64" i="8"/>
  <c r="W83" i="8"/>
  <c r="W190" i="1"/>
  <c r="I94" i="13"/>
  <c r="I91" i="13"/>
  <c r="I49" i="13"/>
  <c r="I16" i="13"/>
  <c r="I73" i="13"/>
  <c r="I20" i="13"/>
  <c r="I98" i="13"/>
  <c r="I65" i="13"/>
  <c r="I24" i="13"/>
  <c r="I96" i="13"/>
  <c r="I50" i="13"/>
  <c r="I21" i="13"/>
  <c r="I93" i="13"/>
  <c r="I42" i="13"/>
  <c r="I18" i="13"/>
  <c r="I66" i="13"/>
  <c r="I95" i="13"/>
  <c r="I100" i="13"/>
  <c r="I47" i="13"/>
  <c r="I15" i="13"/>
  <c r="I19" i="13"/>
  <c r="I43" i="13"/>
  <c r="I97" i="13"/>
  <c r="I23" i="13"/>
  <c r="I48" i="13"/>
  <c r="I92" i="13"/>
  <c r="I17" i="13"/>
  <c r="I99" i="13"/>
  <c r="I25" i="13"/>
  <c r="I41" i="13"/>
  <c r="I72" i="13"/>
  <c r="I45" i="13"/>
  <c r="I90" i="13"/>
  <c r="I44" i="13"/>
  <c r="I22" i="13"/>
  <c r="I67" i="13"/>
  <c r="I68" i="13"/>
  <c r="I74" i="13"/>
  <c r="I71" i="13"/>
  <c r="I75" i="13"/>
  <c r="I69" i="13"/>
  <c r="I70" i="13"/>
  <c r="I46" i="13"/>
  <c r="I40" i="13"/>
  <c r="M273" i="5"/>
  <c r="M188" i="8"/>
  <c r="Y123" i="8"/>
  <c r="Z120" i="8"/>
  <c r="AC25" i="5"/>
  <c r="AB56" i="8"/>
  <c r="AB134" i="8"/>
  <c r="G21" i="12"/>
  <c r="W166" i="1"/>
  <c r="W19" i="8"/>
  <c r="X49" i="2"/>
  <c r="X12" i="12"/>
  <c r="X239" i="5"/>
  <c r="X189" i="5"/>
  <c r="V278" i="5"/>
  <c r="Y116" i="8"/>
  <c r="Y38" i="5"/>
  <c r="Y39" i="5" s="1"/>
  <c r="Z37" i="5" s="1"/>
  <c r="L183" i="8"/>
  <c r="L268" i="5"/>
  <c r="AC168" i="1"/>
  <c r="AB169" i="1"/>
  <c r="AD52" i="2" s="1"/>
  <c r="AD51" i="2"/>
  <c r="AC28" i="8"/>
  <c r="AC29" i="8" s="1"/>
  <c r="AA51" i="8"/>
  <c r="Z54" i="8"/>
  <c r="P14" i="11"/>
  <c r="J90" i="13"/>
  <c r="J75" i="13"/>
  <c r="J94" i="13"/>
  <c r="J91" i="13"/>
  <c r="J49" i="13"/>
  <c r="J16" i="13"/>
  <c r="J44" i="13"/>
  <c r="J41" i="13"/>
  <c r="J69" i="13"/>
  <c r="J72" i="13"/>
  <c r="J17" i="13"/>
  <c r="J20" i="13"/>
  <c r="J68" i="13"/>
  <c r="J21" i="13"/>
  <c r="J93" i="13"/>
  <c r="J42" i="13"/>
  <c r="J18" i="13"/>
  <c r="J73" i="13"/>
  <c r="J70" i="13"/>
  <c r="J98" i="13"/>
  <c r="J65" i="13"/>
  <c r="J40" i="13"/>
  <c r="J50" i="13"/>
  <c r="J74" i="13"/>
  <c r="J96" i="13"/>
  <c r="J95" i="13"/>
  <c r="J47" i="13"/>
  <c r="J43" i="13"/>
  <c r="J67" i="13"/>
  <c r="J46" i="13"/>
  <c r="J71" i="13"/>
  <c r="J22" i="13"/>
  <c r="J19" i="13"/>
  <c r="J25" i="13"/>
  <c r="J92" i="13"/>
  <c r="J99" i="13"/>
  <c r="J15" i="13"/>
  <c r="J97" i="13"/>
  <c r="J66" i="13"/>
  <c r="J24" i="13"/>
  <c r="J48" i="13"/>
  <c r="J100" i="13"/>
  <c r="J45" i="13"/>
  <c r="J23" i="13"/>
  <c r="Y37" i="2"/>
  <c r="X12" i="8"/>
  <c r="X154" i="1"/>
  <c r="Q13" i="11"/>
  <c r="AC172" i="8"/>
  <c r="AC286" i="5"/>
  <c r="Z171" i="8"/>
  <c r="Z177" i="8" s="1"/>
  <c r="Z285" i="5"/>
  <c r="Z283" i="5" s="1"/>
  <c r="M187" i="8"/>
  <c r="M272" i="5"/>
  <c r="M108" i="8"/>
  <c r="AA89" i="8"/>
  <c r="AA95" i="8"/>
  <c r="AA284" i="5"/>
  <c r="AA170" i="8"/>
  <c r="L184" i="8"/>
  <c r="L269" i="5"/>
  <c r="O37" i="11"/>
  <c r="O38" i="11" s="1"/>
  <c r="O149" i="8"/>
  <c r="AC9" i="5"/>
  <c r="AB18" i="5"/>
  <c r="AA31" i="5"/>
  <c r="Z74" i="5"/>
  <c r="Y38" i="2"/>
  <c r="X155" i="1"/>
  <c r="X13" i="8"/>
  <c r="X160" i="8" s="1"/>
  <c r="U42" i="8"/>
  <c r="U43" i="8"/>
  <c r="U41" i="8"/>
  <c r="U44" i="8" s="1"/>
  <c r="U45" i="8" s="1"/>
  <c r="U46" i="8" s="1"/>
  <c r="N78" i="5"/>
  <c r="M297" i="5"/>
  <c r="M296" i="5" s="1"/>
  <c r="X74" i="8"/>
  <c r="X176" i="1"/>
  <c r="T44" i="8"/>
  <c r="T45" i="8" s="1"/>
  <c r="T46" i="8" s="1"/>
  <c r="S188" i="1"/>
  <c r="S81" i="8"/>
  <c r="W114" i="8"/>
  <c r="W129" i="8" s="1"/>
  <c r="W156" i="8"/>
  <c r="AB6" i="5"/>
  <c r="AB13" i="13"/>
  <c r="AB38" i="13" s="1"/>
  <c r="AB63" i="13" s="1"/>
  <c r="AB88" i="13" s="1"/>
  <c r="AA5" i="12"/>
  <c r="AA53" i="5"/>
  <c r="AB10" i="15"/>
  <c r="AB24" i="15" s="1"/>
  <c r="AB38" i="15" s="1"/>
  <c r="AD94" i="8"/>
  <c r="AD176" i="8" s="1"/>
  <c r="AD194" i="1"/>
  <c r="AB93" i="8"/>
  <c r="AB175" i="8" s="1"/>
  <c r="AB174" i="8"/>
  <c r="AG30" i="8"/>
  <c r="AG170" i="1"/>
  <c r="AH53" i="2"/>
  <c r="AD14" i="5"/>
  <c r="Z33" i="11"/>
  <c r="AA8" i="11"/>
  <c r="W79" i="8"/>
  <c r="W186" i="1"/>
  <c r="X151" i="1"/>
  <c r="X9" i="8"/>
  <c r="Y34" i="2"/>
  <c r="AH7" i="2"/>
  <c r="AH13" i="2"/>
  <c r="AH8" i="2"/>
  <c r="AH14" i="2"/>
  <c r="AH9" i="2"/>
  <c r="AH12" i="2"/>
  <c r="K185" i="8"/>
  <c r="V279" i="5"/>
  <c r="AD90" i="8"/>
  <c r="AD183" i="1"/>
  <c r="AE8" i="12"/>
  <c r="AC12" i="3"/>
  <c r="AF69" i="2"/>
  <c r="AD53" i="8"/>
  <c r="AC88" i="5"/>
  <c r="AC51" i="5"/>
  <c r="AD49" i="5" s="1"/>
  <c r="AD50" i="5" s="1"/>
  <c r="AD47" i="5"/>
  <c r="V67" i="8"/>
  <c r="W158" i="8"/>
  <c r="AA182" i="1"/>
  <c r="AB88" i="8"/>
  <c r="AB181" i="1"/>
  <c r="AB141" i="8"/>
  <c r="AC68" i="5"/>
  <c r="Z11" i="11"/>
  <c r="Y36" i="11"/>
  <c r="X47" i="2"/>
  <c r="W164" i="1"/>
  <c r="W17" i="8"/>
  <c r="W20" i="8" s="1"/>
  <c r="W32" i="8" s="1"/>
  <c r="L110" i="8" l="1"/>
  <c r="L207" i="5" s="1"/>
  <c r="L302" i="5"/>
  <c r="L211" i="5" s="1"/>
  <c r="L10" i="9"/>
  <c r="L175" i="5"/>
  <c r="V42" i="8"/>
  <c r="V43" i="8"/>
  <c r="V41" i="8"/>
  <c r="V44" i="8" s="1"/>
  <c r="V45" i="8" s="1"/>
  <c r="V46" i="8" s="1"/>
  <c r="AC13" i="13"/>
  <c r="AC38" i="13" s="1"/>
  <c r="AC63" i="13" s="1"/>
  <c r="AC88" i="13" s="1"/>
  <c r="AB53" i="5"/>
  <c r="AC10" i="15"/>
  <c r="AC24" i="15" s="1"/>
  <c r="AC38" i="15" s="1"/>
  <c r="AB5" i="12"/>
  <c r="AC6" i="5"/>
  <c r="Z116" i="8"/>
  <c r="Z38" i="5"/>
  <c r="Z39" i="5" s="1"/>
  <c r="AA37" i="5" s="1"/>
  <c r="AB242" i="5"/>
  <c r="AB136" i="8"/>
  <c r="AB256" i="5"/>
  <c r="AA11" i="10" s="1"/>
  <c r="AA12" i="10" s="1"/>
  <c r="AA14" i="10" s="1"/>
  <c r="AB117" i="8"/>
  <c r="AB288" i="5"/>
  <c r="AB179" i="5"/>
  <c r="Z299" i="5"/>
  <c r="AA90" i="5"/>
  <c r="AA91" i="5" s="1"/>
  <c r="AA92" i="5" s="1"/>
  <c r="R96" i="8"/>
  <c r="R177" i="5" s="1"/>
  <c r="R181" i="5" s="1"/>
  <c r="R167" i="8"/>
  <c r="R178" i="8" s="1"/>
  <c r="N108" i="8"/>
  <c r="N272" i="5"/>
  <c r="N187" i="8"/>
  <c r="Y45" i="2"/>
  <c r="X15" i="8"/>
  <c r="X162" i="1"/>
  <c r="AB35" i="5"/>
  <c r="AA76" i="5"/>
  <c r="AG76" i="2"/>
  <c r="AG75" i="2"/>
  <c r="M182" i="8"/>
  <c r="M267" i="5"/>
  <c r="M103" i="8"/>
  <c r="Z179" i="1"/>
  <c r="Z77" i="8"/>
  <c r="AD45" i="5"/>
  <c r="AE43" i="5" s="1"/>
  <c r="AE44" i="5" s="1"/>
  <c r="AD82" i="5"/>
  <c r="AE41" i="5"/>
  <c r="AD68" i="5"/>
  <c r="AF8" i="12"/>
  <c r="AD12" i="3"/>
  <c r="AG69" i="2"/>
  <c r="Y74" i="8"/>
  <c r="Y176" i="1"/>
  <c r="AC257" i="5"/>
  <c r="AC259" i="5"/>
  <c r="R13" i="11"/>
  <c r="Q191" i="5"/>
  <c r="Q193" i="5" s="1"/>
  <c r="Q18" i="12"/>
  <c r="Q20" i="12" s="1"/>
  <c r="Q241" i="5"/>
  <c r="Y178" i="1"/>
  <c r="Y76" i="8"/>
  <c r="Y159" i="8" s="1"/>
  <c r="AB7" i="11"/>
  <c r="AC6" i="11"/>
  <c r="M184" i="8"/>
  <c r="M269" i="5"/>
  <c r="AA60" i="8"/>
  <c r="AB57" i="8"/>
  <c r="AD14" i="3"/>
  <c r="AG71" i="2"/>
  <c r="K191" i="8"/>
  <c r="X64" i="8"/>
  <c r="AE194" i="1"/>
  <c r="AE94" i="8"/>
  <c r="AE176" i="8" s="1"/>
  <c r="S164" i="8"/>
  <c r="S280" i="5"/>
  <c r="S277" i="5" s="1"/>
  <c r="S276" i="5" s="1"/>
  <c r="S84" i="8"/>
  <c r="S133" i="8"/>
  <c r="S148" i="8" s="1"/>
  <c r="S12" i="11" s="1"/>
  <c r="X157" i="8"/>
  <c r="AD9" i="5"/>
  <c r="AC18" i="5"/>
  <c r="AA177" i="8"/>
  <c r="M190" i="8"/>
  <c r="P15" i="11"/>
  <c r="P20" i="11"/>
  <c r="P22" i="11" s="1"/>
  <c r="P24" i="11" s="1"/>
  <c r="P27" i="11" s="1"/>
  <c r="H46" i="15"/>
  <c r="H45" i="15"/>
  <c r="H78" i="15"/>
  <c r="H71" i="15"/>
  <c r="H63" i="15"/>
  <c r="H56" i="15"/>
  <c r="H48" i="15"/>
  <c r="H41" i="15"/>
  <c r="H33" i="15"/>
  <c r="H34" i="15"/>
  <c r="H27" i="15"/>
  <c r="H19" i="15"/>
  <c r="H12" i="15"/>
  <c r="H16" i="15"/>
  <c r="H31" i="15"/>
  <c r="H75" i="15"/>
  <c r="H68" i="15"/>
  <c r="H72" i="15"/>
  <c r="H64" i="15"/>
  <c r="H57" i="15"/>
  <c r="H49" i="15"/>
  <c r="H42" i="15"/>
  <c r="H17" i="15"/>
  <c r="H35" i="15"/>
  <c r="H28" i="15"/>
  <c r="H20" i="15"/>
  <c r="H13" i="15"/>
  <c r="H73" i="15"/>
  <c r="H76" i="15"/>
  <c r="H61" i="15"/>
  <c r="H58" i="15"/>
  <c r="H43" i="15"/>
  <c r="H36" i="15"/>
  <c r="H21" i="15"/>
  <c r="H60" i="15"/>
  <c r="H77" i="15"/>
  <c r="H62" i="15"/>
  <c r="H47" i="15"/>
  <c r="H44" i="15"/>
  <c r="H26" i="15"/>
  <c r="H22" i="15"/>
  <c r="H59" i="15"/>
  <c r="H55" i="15"/>
  <c r="H32" i="15"/>
  <c r="H15" i="15"/>
  <c r="H40" i="15"/>
  <c r="H69" i="15"/>
  <c r="H50" i="15"/>
  <c r="H29" i="15"/>
  <c r="H70" i="15"/>
  <c r="H30" i="15"/>
  <c r="H54" i="15"/>
  <c r="H18" i="15"/>
  <c r="H14" i="15"/>
  <c r="H74" i="15"/>
  <c r="AA71" i="5"/>
  <c r="AA72" i="5" s="1"/>
  <c r="AB70" i="5" s="1"/>
  <c r="AA135" i="8"/>
  <c r="AC24" i="8"/>
  <c r="AC84" i="5"/>
  <c r="AC85" i="5" s="1"/>
  <c r="AB298" i="5"/>
  <c r="O34" i="11"/>
  <c r="O35" i="11" s="1"/>
  <c r="O39" i="11" s="1"/>
  <c r="O40" i="11" s="1"/>
  <c r="O130" i="8"/>
  <c r="X16" i="8"/>
  <c r="Y46" i="2"/>
  <c r="X163" i="1"/>
  <c r="N188" i="8"/>
  <c r="N273" i="5"/>
  <c r="X159" i="8"/>
  <c r="AA32" i="11"/>
  <c r="AA18" i="11"/>
  <c r="X82" i="8"/>
  <c r="X189" i="1"/>
  <c r="N101" i="8"/>
  <c r="N102" i="8"/>
  <c r="N100" i="8"/>
  <c r="X18" i="8"/>
  <c r="X20" i="8" s="1"/>
  <c r="X32" i="8" s="1"/>
  <c r="Y48" i="2"/>
  <c r="X165" i="1"/>
  <c r="X158" i="8"/>
  <c r="AE6" i="8"/>
  <c r="AD70" i="8"/>
  <c r="J11" i="12"/>
  <c r="J13" i="12" s="1"/>
  <c r="J21" i="12" s="1"/>
  <c r="J31" i="9"/>
  <c r="J35" i="9" s="1"/>
  <c r="AB182" i="1"/>
  <c r="AC88" i="8"/>
  <c r="AC181" i="1"/>
  <c r="AD286" i="5"/>
  <c r="AD172" i="8"/>
  <c r="X186" i="1"/>
  <c r="X79" i="8"/>
  <c r="AI53" i="2"/>
  <c r="AH30" i="8"/>
  <c r="AB66" i="15"/>
  <c r="AB52" i="15"/>
  <c r="N33" i="9"/>
  <c r="N289" i="5"/>
  <c r="N11" i="9" s="1"/>
  <c r="N79" i="5"/>
  <c r="N80" i="5" s="1"/>
  <c r="AA74" i="5"/>
  <c r="AB31" i="5"/>
  <c r="M109" i="8"/>
  <c r="AB51" i="8"/>
  <c r="AA54" i="8"/>
  <c r="X166" i="1"/>
  <c r="Y49" i="2"/>
  <c r="X19" i="8"/>
  <c r="W166" i="8"/>
  <c r="W282" i="5"/>
  <c r="X80" i="8"/>
  <c r="X163" i="8" s="1"/>
  <c r="X187" i="1"/>
  <c r="X278" i="5"/>
  <c r="X156" i="8"/>
  <c r="X114" i="8"/>
  <c r="X129" i="8" s="1"/>
  <c r="Y239" i="5"/>
  <c r="Y12" i="12"/>
  <c r="Y189" i="5"/>
  <c r="AJ74" i="2"/>
  <c r="AJ4" i="2"/>
  <c r="AJ3" i="2"/>
  <c r="AK2" i="2"/>
  <c r="AJ60" i="2"/>
  <c r="K20" i="13"/>
  <c r="K69" i="13"/>
  <c r="K72" i="13"/>
  <c r="K22" i="13"/>
  <c r="K96" i="13"/>
  <c r="K50" i="13"/>
  <c r="K97" i="13"/>
  <c r="K74" i="13"/>
  <c r="K23" i="13"/>
  <c r="K46" i="13"/>
  <c r="K48" i="13"/>
  <c r="K70" i="13"/>
  <c r="K98" i="13"/>
  <c r="K65" i="13"/>
  <c r="K24" i="13"/>
  <c r="K19" i="13"/>
  <c r="K43" i="13"/>
  <c r="K99" i="13"/>
  <c r="K67" i="13"/>
  <c r="K25" i="13"/>
  <c r="K44" i="13"/>
  <c r="K41" i="13"/>
  <c r="K95" i="13"/>
  <c r="K47" i="13"/>
  <c r="K75" i="13"/>
  <c r="K91" i="13"/>
  <c r="K16" i="13"/>
  <c r="K71" i="13"/>
  <c r="K40" i="13"/>
  <c r="K68" i="13"/>
  <c r="K93" i="13"/>
  <c r="K18" i="13"/>
  <c r="K90" i="13"/>
  <c r="K17" i="13"/>
  <c r="K42" i="13"/>
  <c r="K92" i="13"/>
  <c r="K66" i="13"/>
  <c r="K100" i="13"/>
  <c r="K94" i="13"/>
  <c r="K73" i="13"/>
  <c r="K21" i="13"/>
  <c r="K15" i="13"/>
  <c r="K45" i="13"/>
  <c r="K49" i="13"/>
  <c r="AB284" i="5"/>
  <c r="AB95" i="8"/>
  <c r="AB170" i="8"/>
  <c r="AB89" i="8"/>
  <c r="AE53" i="8"/>
  <c r="W162" i="8"/>
  <c r="W9" i="11"/>
  <c r="W7" i="12"/>
  <c r="W10" i="12" s="1"/>
  <c r="Y13" i="8"/>
  <c r="Z38" i="2"/>
  <c r="Y155" i="1"/>
  <c r="AA285" i="5"/>
  <c r="AA283" i="5" s="1"/>
  <c r="AA171" i="8"/>
  <c r="AD168" i="1"/>
  <c r="AD28" i="8"/>
  <c r="AD29" i="8" s="1"/>
  <c r="AE51" i="2"/>
  <c r="AC169" i="1"/>
  <c r="AE52" i="2" s="1"/>
  <c r="AC134" i="8"/>
  <c r="AC56" i="8"/>
  <c r="AD25" i="5"/>
  <c r="W38" i="8"/>
  <c r="W37" i="8"/>
  <c r="W36" i="8"/>
  <c r="W39" i="8" s="1"/>
  <c r="AE40" i="2"/>
  <c r="AD157" i="1"/>
  <c r="AC158" i="1"/>
  <c r="AE41" i="2" s="1"/>
  <c r="Y11" i="8"/>
  <c r="Z36" i="2"/>
  <c r="Y153" i="1"/>
  <c r="Y175" i="1"/>
  <c r="Y73" i="8"/>
  <c r="W279" i="5"/>
  <c r="L32" i="9"/>
  <c r="L238" i="5"/>
  <c r="L240" i="5" s="1"/>
  <c r="L188" i="5"/>
  <c r="L190" i="5" s="1"/>
  <c r="L194" i="5" s="1"/>
  <c r="L192" i="8"/>
  <c r="N189" i="8"/>
  <c r="N274" i="5"/>
  <c r="AF42" i="2"/>
  <c r="AE159" i="1"/>
  <c r="AE26" i="8"/>
  <c r="AC92" i="8"/>
  <c r="W281" i="5"/>
  <c r="W165" i="8"/>
  <c r="Y160" i="8"/>
  <c r="Z139" i="8"/>
  <c r="Y142" i="8"/>
  <c r="AD88" i="5"/>
  <c r="AD51" i="5"/>
  <c r="AE49" i="5" s="1"/>
  <c r="AE50" i="5" s="1"/>
  <c r="AE47" i="5"/>
  <c r="Y47" i="2"/>
  <c r="X164" i="1"/>
  <c r="X17" i="8"/>
  <c r="Z36" i="11"/>
  <c r="AA11" i="11"/>
  <c r="AC141" i="8"/>
  <c r="AE183" i="1"/>
  <c r="AE90" i="8"/>
  <c r="Z34" i="2"/>
  <c r="Y9" i="8"/>
  <c r="Y151" i="1"/>
  <c r="AB8" i="11"/>
  <c r="AA33" i="11"/>
  <c r="W278" i="5"/>
  <c r="T188" i="1"/>
  <c r="T81" i="8"/>
  <c r="Z94" i="5"/>
  <c r="Z124" i="5"/>
  <c r="O106" i="8"/>
  <c r="O107" i="8"/>
  <c r="O105" i="8"/>
  <c r="Q14" i="11"/>
  <c r="Y154" i="1"/>
  <c r="Y12" i="8"/>
  <c r="Z37" i="2"/>
  <c r="P21" i="11"/>
  <c r="P23" i="11" s="1"/>
  <c r="P25" i="11" s="1"/>
  <c r="P28" i="11" s="1"/>
  <c r="AA120" i="8"/>
  <c r="Z123" i="8"/>
  <c r="X83" i="8"/>
  <c r="X190" i="1"/>
  <c r="AC59" i="8"/>
  <c r="I13" i="12"/>
  <c r="AE56" i="5"/>
  <c r="V10" i="11"/>
  <c r="AC59" i="5"/>
  <c r="AC60" i="5" s="1"/>
  <c r="AD58" i="5" s="1"/>
  <c r="W67" i="8"/>
  <c r="AD192" i="1"/>
  <c r="AC193" i="1"/>
  <c r="AC52" i="8"/>
  <c r="Y152" i="1"/>
  <c r="Y10" i="8"/>
  <c r="Z35" i="2"/>
  <c r="M183" i="8"/>
  <c r="M268" i="5"/>
  <c r="Y75" i="8"/>
  <c r="Y158" i="8" s="1"/>
  <c r="Y177" i="1"/>
  <c r="AI13" i="2"/>
  <c r="AI7" i="2"/>
  <c r="AI14" i="2"/>
  <c r="AI8" i="2"/>
  <c r="AI9" i="2"/>
  <c r="AI12" i="2"/>
  <c r="AD20" i="5"/>
  <c r="AC115" i="8"/>
  <c r="AC50" i="8"/>
  <c r="AC86" i="5"/>
  <c r="AC298" i="5" l="1"/>
  <c r="AD84" i="5"/>
  <c r="AD85" i="5" s="1"/>
  <c r="AD115" i="8"/>
  <c r="AD50" i="8"/>
  <c r="AE20" i="5"/>
  <c r="AD52" i="8"/>
  <c r="AE92" i="8"/>
  <c r="AE192" i="1"/>
  <c r="AD193" i="1"/>
  <c r="AF56" i="5"/>
  <c r="AB120" i="8"/>
  <c r="AA123" i="8"/>
  <c r="Z12" i="8"/>
  <c r="AA37" i="2"/>
  <c r="Z154" i="1"/>
  <c r="AB33" i="11"/>
  <c r="AC8" i="11"/>
  <c r="AE25" i="5"/>
  <c r="AD56" i="8"/>
  <c r="AD134" i="8"/>
  <c r="AK4" i="2"/>
  <c r="AK60" i="2"/>
  <c r="AK74" i="2"/>
  <c r="AK3" i="2"/>
  <c r="O78" i="5"/>
  <c r="N297" i="5"/>
  <c r="N296" i="5" s="1"/>
  <c r="Y186" i="1"/>
  <c r="Y79" i="8"/>
  <c r="AD88" i="8"/>
  <c r="AD181" i="1"/>
  <c r="AC182" i="1"/>
  <c r="AF6" i="8"/>
  <c r="AE70" i="8"/>
  <c r="AC25" i="8"/>
  <c r="AC31" i="8" s="1"/>
  <c r="AB18" i="11"/>
  <c r="AB32" i="11"/>
  <c r="R14" i="11"/>
  <c r="AH69" i="2"/>
  <c r="AG8" i="12"/>
  <c r="B28" i="12" s="1"/>
  <c r="AE12" i="3"/>
  <c r="AC66" i="15"/>
  <c r="AC52" i="15"/>
  <c r="Q15" i="11"/>
  <c r="Q20" i="11"/>
  <c r="Q22" i="11" s="1"/>
  <c r="Q24" i="11" s="1"/>
  <c r="Q27" i="11" s="1"/>
  <c r="AF90" i="8"/>
  <c r="AF183" i="1"/>
  <c r="AE24" i="8"/>
  <c r="AF40" i="2"/>
  <c r="AE157" i="1"/>
  <c r="AD158" i="1"/>
  <c r="AF41" i="2" s="1"/>
  <c r="W10" i="11"/>
  <c r="AF53" i="8"/>
  <c r="AJ14" i="2"/>
  <c r="AJ8" i="2"/>
  <c r="AJ7" i="2"/>
  <c r="AJ9" i="2"/>
  <c r="AJ13" i="2"/>
  <c r="AJ12" i="2"/>
  <c r="Y166" i="1"/>
  <c r="Y19" i="8"/>
  <c r="Z49" i="2"/>
  <c r="M302" i="5"/>
  <c r="M211" i="5" s="1"/>
  <c r="M175" i="5"/>
  <c r="M10" i="9"/>
  <c r="M110" i="8"/>
  <c r="M207" i="5" s="1"/>
  <c r="AC284" i="5"/>
  <c r="AC89" i="8"/>
  <c r="AC170" i="8"/>
  <c r="X279" i="5"/>
  <c r="Y279" i="5"/>
  <c r="Y157" i="8"/>
  <c r="AD86" i="5"/>
  <c r="AA179" i="1"/>
  <c r="AA77" i="8"/>
  <c r="AB76" i="5"/>
  <c r="AC35" i="5"/>
  <c r="N190" i="8"/>
  <c r="AD92" i="8"/>
  <c r="Q21" i="11"/>
  <c r="Q23" i="11" s="1"/>
  <c r="Q25" i="11" s="1"/>
  <c r="Q28" i="11" s="1"/>
  <c r="Y64" i="8"/>
  <c r="AE51" i="5"/>
  <c r="AF49" i="5" s="1"/>
  <c r="AF50" i="5" s="1"/>
  <c r="AF47" i="5"/>
  <c r="AG42" i="2"/>
  <c r="AF159" i="1"/>
  <c r="AF26" i="8"/>
  <c r="L11" i="12"/>
  <c r="L13" i="12" s="1"/>
  <c r="L21" i="12" s="1"/>
  <c r="L31" i="9"/>
  <c r="L35" i="9" s="1"/>
  <c r="AD169" i="1"/>
  <c r="AF52" i="2" s="1"/>
  <c r="AE28" i="8"/>
  <c r="AE29" i="8" s="1"/>
  <c r="AE168" i="1"/>
  <c r="AF51" i="2"/>
  <c r="AB285" i="5"/>
  <c r="AB171" i="8"/>
  <c r="AB74" i="5"/>
  <c r="AC31" i="5"/>
  <c r="Y18" i="8"/>
  <c r="Z48" i="2"/>
  <c r="Y165" i="1"/>
  <c r="N269" i="5"/>
  <c r="N184" i="8"/>
  <c r="AB71" i="5"/>
  <c r="AB72" i="5" s="1"/>
  <c r="AC70" i="5" s="1"/>
  <c r="AB135" i="8"/>
  <c r="P130" i="8"/>
  <c r="P34" i="11"/>
  <c r="P35" i="11" s="1"/>
  <c r="P39" i="11" s="1"/>
  <c r="P40" i="11" s="1"/>
  <c r="S13" i="11"/>
  <c r="K32" i="9"/>
  <c r="K188" i="5"/>
  <c r="K190" i="5" s="1"/>
  <c r="K194" i="5" s="1"/>
  <c r="K192" i="8"/>
  <c r="K238" i="5"/>
  <c r="K240" i="5" s="1"/>
  <c r="AB60" i="8"/>
  <c r="AC57" i="8"/>
  <c r="Z76" i="8"/>
  <c r="Z159" i="8" s="1"/>
  <c r="Z178" i="1"/>
  <c r="AD259" i="5"/>
  <c r="AD257" i="5"/>
  <c r="AE14" i="5"/>
  <c r="Z45" i="2"/>
  <c r="Y162" i="1"/>
  <c r="Y15" i="8"/>
  <c r="AB90" i="5"/>
  <c r="AB91" i="5" s="1"/>
  <c r="AB92" i="5" s="1"/>
  <c r="AA299" i="5"/>
  <c r="AD6" i="5"/>
  <c r="AC5" i="12"/>
  <c r="AD13" i="13"/>
  <c r="AD38" i="13" s="1"/>
  <c r="AD63" i="13" s="1"/>
  <c r="AD88" i="13" s="1"/>
  <c r="AC53" i="5"/>
  <c r="AD10" i="15"/>
  <c r="AD24" i="15" s="1"/>
  <c r="AD38" i="15" s="1"/>
  <c r="AD59" i="5"/>
  <c r="AD60" i="5" s="1"/>
  <c r="AE58" i="5" s="1"/>
  <c r="AD59" i="8"/>
  <c r="O108" i="8"/>
  <c r="O272" i="5"/>
  <c r="O187" i="8"/>
  <c r="O190" i="8" s="1"/>
  <c r="U81" i="8"/>
  <c r="U188" i="1"/>
  <c r="AE286" i="5"/>
  <c r="AE172" i="8"/>
  <c r="AB11" i="11"/>
  <c r="AA36" i="11"/>
  <c r="Y17" i="8"/>
  <c r="Z47" i="2"/>
  <c r="Y164" i="1"/>
  <c r="AC174" i="8"/>
  <c r="AC93" i="8"/>
  <c r="AC175" i="8" s="1"/>
  <c r="Z175" i="1"/>
  <c r="Z73" i="8"/>
  <c r="X9" i="11"/>
  <c r="X7" i="12"/>
  <c r="X10" i="12" s="1"/>
  <c r="Y80" i="8"/>
  <c r="Y187" i="1"/>
  <c r="Y82" i="8"/>
  <c r="Y189" i="1"/>
  <c r="Y163" i="1"/>
  <c r="Z46" i="2"/>
  <c r="Y16" i="8"/>
  <c r="O101" i="8"/>
  <c r="O100" i="8"/>
  <c r="O102" i="8"/>
  <c r="X38" i="8"/>
  <c r="X37" i="8"/>
  <c r="X36" i="8"/>
  <c r="AE14" i="3"/>
  <c r="AH71" i="2"/>
  <c r="Z176" i="1"/>
  <c r="Z74" i="8"/>
  <c r="AE82" i="5"/>
  <c r="AF41" i="5"/>
  <c r="AE45" i="5"/>
  <c r="AF43" i="5" s="1"/>
  <c r="AF44" i="5" s="1"/>
  <c r="M185" i="8"/>
  <c r="M191" i="8" s="1"/>
  <c r="R191" i="5"/>
  <c r="R193" i="5" s="1"/>
  <c r="R18" i="12"/>
  <c r="R20" i="12" s="1"/>
  <c r="R241" i="5"/>
  <c r="AA116" i="8"/>
  <c r="AA38" i="5"/>
  <c r="AA39" i="5" s="1"/>
  <c r="AB37" i="5" s="1"/>
  <c r="Z75" i="8"/>
  <c r="Z177" i="1"/>
  <c r="P37" i="11"/>
  <c r="P38" i="11" s="1"/>
  <c r="P149" i="8"/>
  <c r="O189" i="8"/>
  <c r="O274" i="5"/>
  <c r="Z151" i="1"/>
  <c r="AA34" i="2"/>
  <c r="Z9" i="8"/>
  <c r="Z11" i="8"/>
  <c r="AA36" i="2"/>
  <c r="Z153" i="1"/>
  <c r="Z13" i="8"/>
  <c r="Z160" i="8" s="1"/>
  <c r="AA38" i="2"/>
  <c r="Z155" i="1"/>
  <c r="AB283" i="5"/>
  <c r="K74" i="15"/>
  <c r="K18" i="15"/>
  <c r="K78" i="15"/>
  <c r="K71" i="15"/>
  <c r="K63" i="15"/>
  <c r="K56" i="15"/>
  <c r="K48" i="15"/>
  <c r="K73" i="15"/>
  <c r="K42" i="15"/>
  <c r="K34" i="15"/>
  <c r="K27" i="15"/>
  <c r="K19" i="15"/>
  <c r="K12" i="15"/>
  <c r="K16" i="15"/>
  <c r="K59" i="15"/>
  <c r="K75" i="15"/>
  <c r="K68" i="15"/>
  <c r="K72" i="15"/>
  <c r="K64" i="15"/>
  <c r="K57" i="15"/>
  <c r="K49" i="15"/>
  <c r="K60" i="15"/>
  <c r="K43" i="15"/>
  <c r="K35" i="15"/>
  <c r="K28" i="15"/>
  <c r="K20" i="15"/>
  <c r="K13" i="15"/>
  <c r="K31" i="15"/>
  <c r="K76" i="15"/>
  <c r="K61" i="15"/>
  <c r="K58" i="15"/>
  <c r="K46" i="15"/>
  <c r="K36" i="15"/>
  <c r="K21" i="15"/>
  <c r="K17" i="15"/>
  <c r="K77" i="15"/>
  <c r="K62" i="15"/>
  <c r="K47" i="15"/>
  <c r="K41" i="15"/>
  <c r="K26" i="15"/>
  <c r="K22" i="15"/>
  <c r="K32" i="15"/>
  <c r="K55" i="15"/>
  <c r="K33" i="15"/>
  <c r="K15" i="15"/>
  <c r="K30" i="15"/>
  <c r="K69" i="15"/>
  <c r="K50" i="15"/>
  <c r="K29" i="15"/>
  <c r="K70" i="15"/>
  <c r="K40" i="15"/>
  <c r="K54" i="15"/>
  <c r="K44" i="15"/>
  <c r="K14" i="15"/>
  <c r="K45" i="15"/>
  <c r="N182" i="8"/>
  <c r="N185" i="8" s="1"/>
  <c r="N191" i="8" s="1"/>
  <c r="N103" i="8"/>
  <c r="N267" i="5"/>
  <c r="X165" i="8"/>
  <c r="X281" i="5"/>
  <c r="AH76" i="2"/>
  <c r="AH75" i="2"/>
  <c r="Y83" i="8"/>
  <c r="Y190" i="1"/>
  <c r="O188" i="8"/>
  <c r="O273" i="5"/>
  <c r="AD141" i="8"/>
  <c r="Z152" i="1"/>
  <c r="Z10" i="8"/>
  <c r="AA35" i="2"/>
  <c r="W42" i="8"/>
  <c r="W43" i="8"/>
  <c r="W41" i="8"/>
  <c r="W44" i="8" s="1"/>
  <c r="W45" i="8" s="1"/>
  <c r="W46" i="8" s="1"/>
  <c r="I21" i="12"/>
  <c r="X166" i="8"/>
  <c r="X282" i="5"/>
  <c r="Z239" i="5"/>
  <c r="Z12" i="12"/>
  <c r="Z189" i="5"/>
  <c r="T164" i="8"/>
  <c r="T280" i="5"/>
  <c r="T277" i="5" s="1"/>
  <c r="T276" i="5" s="1"/>
  <c r="T84" i="8"/>
  <c r="T133" i="8"/>
  <c r="T148" i="8" s="1"/>
  <c r="T12" i="11" s="1"/>
  <c r="AA139" i="8"/>
  <c r="Z142" i="8"/>
  <c r="M20" i="13"/>
  <c r="M99" i="13"/>
  <c r="M67" i="13"/>
  <c r="M25" i="13"/>
  <c r="M46" i="13"/>
  <c r="M48" i="13"/>
  <c r="M71" i="13"/>
  <c r="M92" i="13"/>
  <c r="M40" i="13"/>
  <c r="M17" i="13"/>
  <c r="M68" i="13"/>
  <c r="M94" i="13"/>
  <c r="M91" i="13"/>
  <c r="M49" i="13"/>
  <c r="M16" i="13"/>
  <c r="M44" i="13"/>
  <c r="M41" i="13"/>
  <c r="M69" i="13"/>
  <c r="M72" i="13"/>
  <c r="M22" i="13"/>
  <c r="M96" i="13"/>
  <c r="M50" i="13"/>
  <c r="M21" i="13"/>
  <c r="M42" i="13"/>
  <c r="M73" i="13"/>
  <c r="M98" i="13"/>
  <c r="M24" i="13"/>
  <c r="M43" i="13"/>
  <c r="M97" i="13"/>
  <c r="M23" i="13"/>
  <c r="M66" i="13"/>
  <c r="M100" i="13"/>
  <c r="M15" i="13"/>
  <c r="M70" i="13"/>
  <c r="M45" i="13"/>
  <c r="M47" i="13"/>
  <c r="M74" i="13"/>
  <c r="M75" i="13"/>
  <c r="M93" i="13"/>
  <c r="M90" i="13"/>
  <c r="M19" i="13"/>
  <c r="M95" i="13"/>
  <c r="M18" i="13"/>
  <c r="M65" i="13"/>
  <c r="Y156" i="8"/>
  <c r="Y114" i="8"/>
  <c r="Y129" i="8" s="1"/>
  <c r="Y278" i="5"/>
  <c r="AD24" i="8"/>
  <c r="AB177" i="8"/>
  <c r="AC51" i="8"/>
  <c r="AB54" i="8"/>
  <c r="AA124" i="5"/>
  <c r="AA94" i="5"/>
  <c r="X162" i="8"/>
  <c r="N183" i="8"/>
  <c r="N268" i="5"/>
  <c r="AD18" i="5"/>
  <c r="AE9" i="5"/>
  <c r="S167" i="8"/>
  <c r="S178" i="8" s="1"/>
  <c r="S96" i="8"/>
  <c r="S177" i="5" s="1"/>
  <c r="S181" i="5" s="1"/>
  <c r="AF194" i="1"/>
  <c r="AF94" i="8"/>
  <c r="AF176" i="8" s="1"/>
  <c r="AC7" i="11"/>
  <c r="AD6" i="11"/>
  <c r="AC242" i="5"/>
  <c r="AC256" i="5"/>
  <c r="AB11" i="10" s="1"/>
  <c r="AB12" i="10" s="1"/>
  <c r="AB14" i="10" s="1"/>
  <c r="AC179" i="5"/>
  <c r="AC136" i="8"/>
  <c r="AC117" i="8"/>
  <c r="AC288" i="5"/>
  <c r="AE68" i="5"/>
  <c r="AE88" i="5" s="1"/>
  <c r="X67" i="8"/>
  <c r="N109" i="8"/>
  <c r="Y7" i="12" l="1"/>
  <c r="Y10" i="12" s="1"/>
  <c r="Y9" i="11"/>
  <c r="Z190" i="1"/>
  <c r="Z83" i="8"/>
  <c r="N238" i="5"/>
  <c r="N240" i="5" s="1"/>
  <c r="N188" i="5"/>
  <c r="N190" i="5" s="1"/>
  <c r="N194" i="5" s="1"/>
  <c r="N32" i="9"/>
  <c r="N192" i="8"/>
  <c r="AB116" i="8"/>
  <c r="AB38" i="5"/>
  <c r="AB39" i="5" s="1"/>
  <c r="AC37" i="5" s="1"/>
  <c r="AA176" i="1"/>
  <c r="AA74" i="8"/>
  <c r="O184" i="8"/>
  <c r="O269" i="5"/>
  <c r="Y67" i="8"/>
  <c r="AE259" i="5"/>
  <c r="AE257" i="5"/>
  <c r="AF28" i="8"/>
  <c r="AF29" i="8" s="1"/>
  <c r="AG51" i="2"/>
  <c r="AF168" i="1"/>
  <c r="AE169" i="1"/>
  <c r="AG52" i="2" s="1"/>
  <c r="AF51" i="5"/>
  <c r="AG49" i="5" s="1"/>
  <c r="AG50" i="5" s="1"/>
  <c r="AG47" i="5"/>
  <c r="AC95" i="8"/>
  <c r="AA49" i="2"/>
  <c r="Z19" i="8"/>
  <c r="Z166" i="1"/>
  <c r="AG90" i="8"/>
  <c r="AG183" i="1"/>
  <c r="AH90" i="8" s="1"/>
  <c r="Z186" i="1"/>
  <c r="Z79" i="8"/>
  <c r="AE115" i="8"/>
  <c r="AF20" i="5"/>
  <c r="AE50" i="8"/>
  <c r="AC18" i="11"/>
  <c r="AC32" i="11"/>
  <c r="Y166" i="8"/>
  <c r="Y282" i="5"/>
  <c r="AF82" i="5"/>
  <c r="AG41" i="5"/>
  <c r="AF45" i="5"/>
  <c r="AG43" i="5" s="1"/>
  <c r="AG44" i="5" s="1"/>
  <c r="AA45" i="2"/>
  <c r="Z162" i="1"/>
  <c r="Z15" i="8"/>
  <c r="P101" i="8"/>
  <c r="P102" i="8"/>
  <c r="P100" i="8"/>
  <c r="AB94" i="5"/>
  <c r="AB124" i="5"/>
  <c r="Q149" i="8"/>
  <c r="Q37" i="11"/>
  <c r="Q38" i="11" s="1"/>
  <c r="AF286" i="5"/>
  <c r="AF172" i="8"/>
  <c r="AD51" i="8"/>
  <c r="AC54" i="8"/>
  <c r="T13" i="11"/>
  <c r="AA10" i="8"/>
  <c r="AB35" i="2"/>
  <c r="AA152" i="1"/>
  <c r="AA177" i="1"/>
  <c r="AA75" i="8"/>
  <c r="AA158" i="8" s="1"/>
  <c r="AI71" i="2"/>
  <c r="AF14" i="3"/>
  <c r="O183" i="8"/>
  <c r="O268" i="5"/>
  <c r="Z82" i="8"/>
  <c r="Z189" i="1"/>
  <c r="Z80" i="8"/>
  <c r="Z187" i="1"/>
  <c r="Z114" i="8"/>
  <c r="Z129" i="8" s="1"/>
  <c r="Z278" i="5"/>
  <c r="Z156" i="8"/>
  <c r="Z164" i="1"/>
  <c r="Z17" i="8"/>
  <c r="AA47" i="2"/>
  <c r="V81" i="8"/>
  <c r="V188" i="1"/>
  <c r="O109" i="8"/>
  <c r="AE59" i="5"/>
  <c r="AE60" i="5" s="1"/>
  <c r="AF58" i="5" s="1"/>
  <c r="AC90" i="5"/>
  <c r="AC91" i="5" s="1"/>
  <c r="AC92" i="5" s="1"/>
  <c r="AB299" i="5"/>
  <c r="S14" i="11"/>
  <c r="AG159" i="1"/>
  <c r="AH42" i="2"/>
  <c r="AG26" i="8"/>
  <c r="AD35" i="5"/>
  <c r="AC76" i="5"/>
  <c r="AB77" i="8"/>
  <c r="AB179" i="1"/>
  <c r="AC177" i="8"/>
  <c r="R15" i="11"/>
  <c r="R20" i="11"/>
  <c r="R22" i="11" s="1"/>
  <c r="R24" i="11" s="1"/>
  <c r="R27" i="11" s="1"/>
  <c r="AD284" i="5"/>
  <c r="AD89" i="8"/>
  <c r="AD170" i="8"/>
  <c r="O33" i="9"/>
  <c r="O289" i="5"/>
  <c r="O11" i="9" s="1"/>
  <c r="O79" i="5"/>
  <c r="O80" i="5" s="1"/>
  <c r="AG56" i="5"/>
  <c r="AD7" i="11"/>
  <c r="AE6" i="11"/>
  <c r="AG94" i="8"/>
  <c r="AG176" i="8" s="1"/>
  <c r="AG194" i="1"/>
  <c r="AH94" i="8" s="1"/>
  <c r="AH176" i="8" s="1"/>
  <c r="AA142" i="8"/>
  <c r="AB139" i="8"/>
  <c r="J77" i="15"/>
  <c r="J70" i="15"/>
  <c r="J62" i="15"/>
  <c r="J55" i="15"/>
  <c r="J47" i="15"/>
  <c r="J40" i="15"/>
  <c r="J32" i="15"/>
  <c r="J41" i="15"/>
  <c r="J33" i="15"/>
  <c r="J26" i="15"/>
  <c r="J30" i="15"/>
  <c r="J22" i="15"/>
  <c r="J15" i="15"/>
  <c r="J18" i="15"/>
  <c r="J78" i="15"/>
  <c r="J71" i="15"/>
  <c r="J63" i="15"/>
  <c r="J56" i="15"/>
  <c r="J48" i="15"/>
  <c r="J74" i="15"/>
  <c r="J73" i="15"/>
  <c r="J42" i="15"/>
  <c r="J34" i="15"/>
  <c r="J27" i="15"/>
  <c r="J19" i="15"/>
  <c r="J12" i="15"/>
  <c r="J16" i="15"/>
  <c r="J68" i="15"/>
  <c r="J64" i="15"/>
  <c r="J49" i="15"/>
  <c r="J60" i="15"/>
  <c r="J35" i="15"/>
  <c r="J20" i="15"/>
  <c r="J31" i="15"/>
  <c r="J69" i="15"/>
  <c r="J54" i="15"/>
  <c r="J50" i="15"/>
  <c r="J46" i="15"/>
  <c r="J36" i="15"/>
  <c r="J21" i="15"/>
  <c r="J17" i="15"/>
  <c r="J76" i="15"/>
  <c r="J58" i="15"/>
  <c r="J44" i="15"/>
  <c r="J14" i="15"/>
  <c r="J61" i="15"/>
  <c r="J29" i="15"/>
  <c r="J72" i="15"/>
  <c r="J59" i="15"/>
  <c r="J28" i="15"/>
  <c r="J45" i="15"/>
  <c r="J43" i="15"/>
  <c r="J13" i="15"/>
  <c r="J75" i="15"/>
  <c r="J57" i="15"/>
  <c r="AE141" i="8"/>
  <c r="AI76" i="2"/>
  <c r="AI75" i="2"/>
  <c r="AB36" i="2"/>
  <c r="AA11" i="8"/>
  <c r="AA153" i="1"/>
  <c r="P106" i="8"/>
  <c r="P107" i="8"/>
  <c r="P105" i="8"/>
  <c r="L70" i="13"/>
  <c r="L44" i="13"/>
  <c r="L41" i="13"/>
  <c r="L69" i="13"/>
  <c r="L72" i="13"/>
  <c r="L22" i="13"/>
  <c r="L19" i="13"/>
  <c r="L43" i="13"/>
  <c r="L97" i="13"/>
  <c r="L74" i="13"/>
  <c r="L18" i="13"/>
  <c r="L45" i="13"/>
  <c r="L73" i="13"/>
  <c r="L90" i="13"/>
  <c r="L98" i="13"/>
  <c r="L65" i="13"/>
  <c r="L24" i="13"/>
  <c r="L75" i="13"/>
  <c r="L20" i="13"/>
  <c r="L99" i="13"/>
  <c r="L67" i="13"/>
  <c r="L42" i="13"/>
  <c r="L66" i="13"/>
  <c r="L100" i="13"/>
  <c r="L15" i="13"/>
  <c r="L94" i="13"/>
  <c r="L49" i="13"/>
  <c r="L48" i="13"/>
  <c r="L92" i="13"/>
  <c r="L17" i="13"/>
  <c r="L21" i="13"/>
  <c r="L23" i="13"/>
  <c r="L71" i="13"/>
  <c r="L50" i="13"/>
  <c r="L16" i="13"/>
  <c r="L40" i="13"/>
  <c r="L96" i="13"/>
  <c r="L47" i="13"/>
  <c r="L91" i="13"/>
  <c r="L46" i="13"/>
  <c r="L93" i="13"/>
  <c r="L95" i="13"/>
  <c r="L68" i="13"/>
  <c r="L25" i="13"/>
  <c r="AC71" i="5"/>
  <c r="AC72" i="5" s="1"/>
  <c r="AD70" i="5" s="1"/>
  <c r="AC135" i="8"/>
  <c r="AC74" i="5"/>
  <c r="AD31" i="5"/>
  <c r="M76" i="15"/>
  <c r="M69" i="15"/>
  <c r="M61" i="15"/>
  <c r="M54" i="15"/>
  <c r="M58" i="15"/>
  <c r="M50" i="15"/>
  <c r="M43" i="15"/>
  <c r="M46" i="15"/>
  <c r="M35" i="15"/>
  <c r="M28" i="15"/>
  <c r="M20" i="15"/>
  <c r="M13" i="15"/>
  <c r="M74" i="15"/>
  <c r="M32" i="15"/>
  <c r="M77" i="15"/>
  <c r="M70" i="15"/>
  <c r="M62" i="15"/>
  <c r="M55" i="15"/>
  <c r="M47" i="15"/>
  <c r="M40" i="15"/>
  <c r="M44" i="15"/>
  <c r="M31" i="15"/>
  <c r="M36" i="15"/>
  <c r="M29" i="15"/>
  <c r="M21" i="15"/>
  <c r="M14" i="15"/>
  <c r="M59" i="15"/>
  <c r="M18" i="15"/>
  <c r="M71" i="15"/>
  <c r="M56" i="15"/>
  <c r="M41" i="15"/>
  <c r="M33" i="15"/>
  <c r="M30" i="15"/>
  <c r="M15" i="15"/>
  <c r="M75" i="15"/>
  <c r="M72" i="15"/>
  <c r="M57" i="15"/>
  <c r="M42" i="15"/>
  <c r="M34" i="15"/>
  <c r="M19" i="15"/>
  <c r="M16" i="15"/>
  <c r="M64" i="15"/>
  <c r="M60" i="15"/>
  <c r="M12" i="15"/>
  <c r="M49" i="15"/>
  <c r="M17" i="15"/>
  <c r="M78" i="15"/>
  <c r="M48" i="15"/>
  <c r="M26" i="15"/>
  <c r="M45" i="15"/>
  <c r="M68" i="15"/>
  <c r="M27" i="15"/>
  <c r="M22" i="15"/>
  <c r="M73" i="15"/>
  <c r="M63" i="15"/>
  <c r="Y20" i="8"/>
  <c r="Y32" i="8" s="1"/>
  <c r="AA154" i="1"/>
  <c r="AA12" i="8"/>
  <c r="AB37" i="2"/>
  <c r="AC120" i="8"/>
  <c r="AB123" i="8"/>
  <c r="AE193" i="1"/>
  <c r="AF192" i="1"/>
  <c r="AD25" i="8"/>
  <c r="AD31" i="8"/>
  <c r="AA155" i="1"/>
  <c r="AA13" i="8"/>
  <c r="AA160" i="8" s="1"/>
  <c r="AB38" i="2"/>
  <c r="AA151" i="1"/>
  <c r="AB34" i="2"/>
  <c r="AA9" i="8"/>
  <c r="M32" i="9"/>
  <c r="M192" i="8"/>
  <c r="M238" i="5"/>
  <c r="M240" i="5" s="1"/>
  <c r="M188" i="5"/>
  <c r="M190" i="5" s="1"/>
  <c r="M194" i="5" s="1"/>
  <c r="O103" i="8"/>
  <c r="O267" i="5"/>
  <c r="O182" i="8"/>
  <c r="O185" i="8" s="1"/>
  <c r="O191" i="8" s="1"/>
  <c r="Z16" i="8"/>
  <c r="Z163" i="1"/>
  <c r="AA46" i="2"/>
  <c r="X10" i="11"/>
  <c r="AA76" i="8"/>
  <c r="AA178" i="1"/>
  <c r="Z165" i="1"/>
  <c r="AA48" i="2"/>
  <c r="Z18" i="8"/>
  <c r="AE158" i="1"/>
  <c r="AG41" i="2" s="1"/>
  <c r="AF157" i="1"/>
  <c r="AG40" i="2"/>
  <c r="AE88" i="8"/>
  <c r="AE181" i="1"/>
  <c r="AD182" i="1"/>
  <c r="AE134" i="8"/>
  <c r="AE56" i="8"/>
  <c r="AF25" i="5"/>
  <c r="AD8" i="11"/>
  <c r="AC33" i="11"/>
  <c r="AE93" i="8"/>
  <c r="AE175" i="8" s="1"/>
  <c r="AE174" i="8"/>
  <c r="N175" i="5"/>
  <c r="N10" i="9"/>
  <c r="N302" i="5"/>
  <c r="N211" i="5" s="1"/>
  <c r="N110" i="8"/>
  <c r="N207" i="5" s="1"/>
  <c r="S18" i="12"/>
  <c r="S20" i="12" s="1"/>
  <c r="S241" i="5"/>
  <c r="S191" i="5"/>
  <c r="S193" i="5" s="1"/>
  <c r="X42" i="8"/>
  <c r="X43" i="8"/>
  <c r="X41" i="8"/>
  <c r="AF68" i="5"/>
  <c r="AE18" i="5"/>
  <c r="AF9" i="5"/>
  <c r="AA239" i="5"/>
  <c r="AA189" i="5"/>
  <c r="AA12" i="12"/>
  <c r="T167" i="8"/>
  <c r="T178" i="8" s="1"/>
  <c r="T96" i="8"/>
  <c r="T177" i="5" s="1"/>
  <c r="T181" i="5" s="1"/>
  <c r="Z64" i="8"/>
  <c r="Z158" i="8"/>
  <c r="Z157" i="8"/>
  <c r="Z279" i="5"/>
  <c r="X39" i="8"/>
  <c r="Y165" i="8"/>
  <c r="Y281" i="5"/>
  <c r="Y163" i="8"/>
  <c r="AA175" i="1"/>
  <c r="AA73" i="8"/>
  <c r="AC11" i="11"/>
  <c r="AB36" i="11"/>
  <c r="U280" i="5"/>
  <c r="U277" i="5" s="1"/>
  <c r="U276" i="5" s="1"/>
  <c r="U164" i="8"/>
  <c r="U84" i="8"/>
  <c r="U133" i="8"/>
  <c r="U148" i="8" s="1"/>
  <c r="U12" i="11" s="1"/>
  <c r="AE59" i="8"/>
  <c r="AD52" i="15"/>
  <c r="AD66" i="15"/>
  <c r="AD5" i="12"/>
  <c r="AE13" i="13"/>
  <c r="AE38" i="13" s="1"/>
  <c r="AE63" i="13" s="1"/>
  <c r="AE88" i="13" s="1"/>
  <c r="AE6" i="5"/>
  <c r="AD53" i="5"/>
  <c r="AE10" i="15"/>
  <c r="AE24" i="15" s="1"/>
  <c r="AE38" i="15" s="1"/>
  <c r="AF14" i="5"/>
  <c r="AG14" i="5" s="1"/>
  <c r="AD288" i="5"/>
  <c r="AD117" i="8"/>
  <c r="AD256" i="5"/>
  <c r="AC11" i="10" s="1"/>
  <c r="AC12" i="10" s="1"/>
  <c r="AC14" i="10" s="1"/>
  <c r="AD179" i="5"/>
  <c r="AD242" i="5"/>
  <c r="AD136" i="8"/>
  <c r="AD57" i="8"/>
  <c r="AC60" i="8"/>
  <c r="K31" i="9"/>
  <c r="K35" i="9" s="1"/>
  <c r="K11" i="12"/>
  <c r="Y38" i="8"/>
  <c r="Y37" i="8"/>
  <c r="Y36" i="8"/>
  <c r="AD174" i="8"/>
  <c r="AD93" i="8"/>
  <c r="AD175" i="8" s="1"/>
  <c r="AD298" i="5"/>
  <c r="AE84" i="5"/>
  <c r="AE85" i="5" s="1"/>
  <c r="AE86" i="5" s="1"/>
  <c r="AC171" i="8"/>
  <c r="AC285" i="5"/>
  <c r="AC283" i="5" s="1"/>
  <c r="AG53" i="8"/>
  <c r="AE25" i="8"/>
  <c r="AE31" i="8"/>
  <c r="Q34" i="11"/>
  <c r="Q35" i="11" s="1"/>
  <c r="Q130" i="8"/>
  <c r="AH8" i="12"/>
  <c r="AF12" i="3"/>
  <c r="AF92" i="8" s="1"/>
  <c r="AI69" i="2"/>
  <c r="R21" i="11"/>
  <c r="R23" i="11" s="1"/>
  <c r="R25" i="11" s="1"/>
  <c r="R28" i="11" s="1"/>
  <c r="AF70" i="8"/>
  <c r="AG6" i="8"/>
  <c r="Y162" i="8"/>
  <c r="AK9" i="2"/>
  <c r="AK8" i="2"/>
  <c r="AK13" i="2"/>
  <c r="AK14" i="2"/>
  <c r="AK7" i="2"/>
  <c r="AK12" i="2"/>
  <c r="AE52" i="8"/>
  <c r="AF93" i="8" l="1"/>
  <c r="AF175" i="8" s="1"/>
  <c r="AF174" i="8"/>
  <c r="AF84" i="5"/>
  <c r="AF85" i="5" s="1"/>
  <c r="AF86" i="5" s="1"/>
  <c r="AE298" i="5"/>
  <c r="AG70" i="8"/>
  <c r="AH6" i="8"/>
  <c r="AH70" i="8" s="1"/>
  <c r="U13" i="11"/>
  <c r="Z38" i="8"/>
  <c r="Z37" i="8"/>
  <c r="Z36" i="8"/>
  <c r="Z39" i="8" s="1"/>
  <c r="AA64" i="8"/>
  <c r="AF193" i="1"/>
  <c r="AG192" i="1"/>
  <c r="AF141" i="8"/>
  <c r="AB142" i="8"/>
  <c r="AC139" i="8"/>
  <c r="AG14" i="3"/>
  <c r="AJ71" i="2"/>
  <c r="P182" i="8"/>
  <c r="P103" i="8"/>
  <c r="P267" i="5"/>
  <c r="Z67" i="8"/>
  <c r="AC116" i="8"/>
  <c r="AC38" i="5"/>
  <c r="AC39" i="5" s="1"/>
  <c r="AD37" i="5" s="1"/>
  <c r="O95" i="13"/>
  <c r="O100" i="13"/>
  <c r="O47" i="13"/>
  <c r="O15" i="13"/>
  <c r="O75" i="13"/>
  <c r="O70" i="13"/>
  <c r="O99" i="13"/>
  <c r="O67" i="13"/>
  <c r="O25" i="13"/>
  <c r="O44" i="13"/>
  <c r="O48" i="13"/>
  <c r="O45" i="13"/>
  <c r="O71" i="13"/>
  <c r="O92" i="13"/>
  <c r="O40" i="13"/>
  <c r="O17" i="13"/>
  <c r="O68" i="13"/>
  <c r="O94" i="13"/>
  <c r="O91" i="13"/>
  <c r="O49" i="13"/>
  <c r="O16" i="13"/>
  <c r="O73" i="13"/>
  <c r="O90" i="13"/>
  <c r="O72" i="13"/>
  <c r="O96" i="13"/>
  <c r="O21" i="13"/>
  <c r="O42" i="13"/>
  <c r="O66" i="13"/>
  <c r="O20" i="13"/>
  <c r="O65" i="13"/>
  <c r="O19" i="13"/>
  <c r="O97" i="13"/>
  <c r="O23" i="13"/>
  <c r="O41" i="13"/>
  <c r="O24" i="13"/>
  <c r="O74" i="13"/>
  <c r="O43" i="13"/>
  <c r="O69" i="13"/>
  <c r="O50" i="13"/>
  <c r="O18" i="13"/>
  <c r="O98" i="13"/>
  <c r="O46" i="13"/>
  <c r="O22" i="13"/>
  <c r="O93" i="13"/>
  <c r="AE5" i="12"/>
  <c r="AF13" i="13"/>
  <c r="AF38" i="13" s="1"/>
  <c r="AF63" i="13" s="1"/>
  <c r="AF88" i="13" s="1"/>
  <c r="AF6" i="5"/>
  <c r="AE53" i="5"/>
  <c r="AF10" i="15"/>
  <c r="AF24" i="15" s="1"/>
  <c r="AF38" i="15" s="1"/>
  <c r="AD11" i="11"/>
  <c r="AC36" i="11"/>
  <c r="Z20" i="8"/>
  <c r="Z32" i="8" s="1"/>
  <c r="AF88" i="8"/>
  <c r="AF181" i="1"/>
  <c r="AE182" i="1"/>
  <c r="AA18" i="8"/>
  <c r="AA165" i="1"/>
  <c r="AB48" i="2"/>
  <c r="AC38" i="2"/>
  <c r="AB155" i="1"/>
  <c r="AB13" i="8"/>
  <c r="AD74" i="5"/>
  <c r="AE31" i="5"/>
  <c r="AJ76" i="2"/>
  <c r="AJ75" i="2"/>
  <c r="P78" i="5"/>
  <c r="O297" i="5"/>
  <c r="O296" i="5" s="1"/>
  <c r="AE35" i="5"/>
  <c r="AD76" i="5"/>
  <c r="Z7" i="12"/>
  <c r="Z10" i="12" s="1"/>
  <c r="Z9" i="11"/>
  <c r="AB75" i="8"/>
  <c r="AB177" i="1"/>
  <c r="Q106" i="8"/>
  <c r="Q107" i="8"/>
  <c r="Q105" i="8"/>
  <c r="AG45" i="5"/>
  <c r="AH43" i="5" s="1"/>
  <c r="AH44" i="5" s="1"/>
  <c r="AH41" i="5"/>
  <c r="AG82" i="5"/>
  <c r="Z162" i="8"/>
  <c r="Q100" i="8"/>
  <c r="Q101" i="8"/>
  <c r="Q102" i="8"/>
  <c r="Y39" i="8"/>
  <c r="K13" i="12"/>
  <c r="AG68" i="5"/>
  <c r="AE8" i="11"/>
  <c r="AD33" i="11"/>
  <c r="AE170" i="8"/>
  <c r="AE284" i="5"/>
  <c r="AE89" i="8"/>
  <c r="AE95" i="8"/>
  <c r="M31" i="9"/>
  <c r="M35" i="9" s="1"/>
  <c r="M11" i="12"/>
  <c r="M13" i="12" s="1"/>
  <c r="M21" i="12" s="1"/>
  <c r="AC124" i="5"/>
  <c r="AC94" i="5"/>
  <c r="AF52" i="8"/>
  <c r="Q39" i="11"/>
  <c r="Q40" i="11" s="1"/>
  <c r="AH53" i="8"/>
  <c r="AE52" i="15"/>
  <c r="AE66" i="15"/>
  <c r="AF59" i="8"/>
  <c r="AA114" i="8"/>
  <c r="AA129" i="8" s="1"/>
  <c r="AA156" i="8"/>
  <c r="T241" i="5"/>
  <c r="T191" i="5"/>
  <c r="T193" i="5" s="1"/>
  <c r="T18" i="12"/>
  <c r="T20" i="12" s="1"/>
  <c r="AF18" i="5"/>
  <c r="AG9" i="5"/>
  <c r="X44" i="8"/>
  <c r="AF56" i="8"/>
  <c r="AG25" i="5"/>
  <c r="AF134" i="8"/>
  <c r="AA159" i="8"/>
  <c r="AB46" i="2"/>
  <c r="AA163" i="1"/>
  <c r="AA16" i="8"/>
  <c r="AC37" i="2"/>
  <c r="AB154" i="1"/>
  <c r="AB12" i="8"/>
  <c r="P272" i="5"/>
  <c r="P108" i="8"/>
  <c r="P109" i="8" s="1"/>
  <c r="P187" i="8"/>
  <c r="AH56" i="5"/>
  <c r="AF59" i="5"/>
  <c r="AF60" i="5" s="1"/>
  <c r="AG58" i="5" s="1"/>
  <c r="Z163" i="8"/>
  <c r="AB10" i="8"/>
  <c r="AC35" i="2"/>
  <c r="AB152" i="1"/>
  <c r="AH286" i="5"/>
  <c r="AF88" i="5"/>
  <c r="Y42" i="8"/>
  <c r="Y43" i="8"/>
  <c r="Y41" i="8"/>
  <c r="AB74" i="8"/>
  <c r="AB176" i="1"/>
  <c r="AA190" i="1"/>
  <c r="AA83" i="8"/>
  <c r="AG12" i="3"/>
  <c r="AG92" i="8" s="1"/>
  <c r="AJ69" i="2"/>
  <c r="AB73" i="8"/>
  <c r="AB175" i="1"/>
  <c r="X45" i="8"/>
  <c r="X46" i="8" s="1"/>
  <c r="AF158" i="1"/>
  <c r="AH41" i="2" s="1"/>
  <c r="AG157" i="1"/>
  <c r="AH40" i="2"/>
  <c r="AG24" i="8"/>
  <c r="N20" i="13"/>
  <c r="N50" i="13"/>
  <c r="N21" i="13"/>
  <c r="N93" i="13"/>
  <c r="N42" i="13"/>
  <c r="N18" i="13"/>
  <c r="N44" i="13"/>
  <c r="N41" i="13"/>
  <c r="N98" i="13"/>
  <c r="N65" i="13"/>
  <c r="N22" i="13"/>
  <c r="N19" i="13"/>
  <c r="N43" i="13"/>
  <c r="N97" i="13"/>
  <c r="N74" i="13"/>
  <c r="N23" i="13"/>
  <c r="N45" i="13"/>
  <c r="N73" i="13"/>
  <c r="N95" i="13"/>
  <c r="N100" i="13"/>
  <c r="N47" i="13"/>
  <c r="N15" i="13"/>
  <c r="N75" i="13"/>
  <c r="N99" i="13"/>
  <c r="N25" i="13"/>
  <c r="N66" i="13"/>
  <c r="N92" i="13"/>
  <c r="N17" i="13"/>
  <c r="N68" i="13"/>
  <c r="N91" i="13"/>
  <c r="N16" i="13"/>
  <c r="N48" i="13"/>
  <c r="N72" i="13"/>
  <c r="N90" i="13"/>
  <c r="N49" i="13"/>
  <c r="N69" i="13"/>
  <c r="N94" i="13"/>
  <c r="N24" i="13"/>
  <c r="N70" i="13"/>
  <c r="N96" i="13"/>
  <c r="N40" i="13"/>
  <c r="N46" i="13"/>
  <c r="N67" i="13"/>
  <c r="N71" i="13"/>
  <c r="AC123" i="8"/>
  <c r="AD120" i="8"/>
  <c r="AD71" i="5"/>
  <c r="AD72" i="5" s="1"/>
  <c r="AE70" i="5" s="1"/>
  <c r="AD135" i="8"/>
  <c r="P274" i="5"/>
  <c r="P189" i="8"/>
  <c r="AE7" i="11"/>
  <c r="AF6" i="11"/>
  <c r="AD95" i="8"/>
  <c r="AI42" i="2"/>
  <c r="AH26" i="8"/>
  <c r="AH172" i="8" s="1"/>
  <c r="O175" i="5"/>
  <c r="O10" i="9"/>
  <c r="O302" i="5"/>
  <c r="O211" i="5" s="1"/>
  <c r="O110" i="8"/>
  <c r="O207" i="5" s="1"/>
  <c r="AA189" i="1"/>
  <c r="AA82" i="8"/>
  <c r="AG172" i="8"/>
  <c r="AG286" i="5"/>
  <c r="Y10" i="11"/>
  <c r="U167" i="8"/>
  <c r="U178" i="8" s="1"/>
  <c r="U96" i="8"/>
  <c r="U177" i="5" s="1"/>
  <c r="U181" i="5" s="1"/>
  <c r="AF24" i="8"/>
  <c r="O192" i="8"/>
  <c r="O32" i="9"/>
  <c r="O188" i="5"/>
  <c r="O190" i="5" s="1"/>
  <c r="O194" i="5" s="1"/>
  <c r="O238" i="5"/>
  <c r="O240" i="5" s="1"/>
  <c r="P273" i="5"/>
  <c r="P188" i="8"/>
  <c r="AD18" i="11"/>
  <c r="AD32" i="11"/>
  <c r="AC77" i="8"/>
  <c r="AC179" i="1"/>
  <c r="S15" i="11"/>
  <c r="S20" i="11"/>
  <c r="S22" i="11" s="1"/>
  <c r="S24" i="11" s="1"/>
  <c r="S27" i="11" s="1"/>
  <c r="AD90" i="5"/>
  <c r="AD91" i="5" s="1"/>
  <c r="AD92" i="5" s="1"/>
  <c r="AC299" i="5"/>
  <c r="W81" i="8"/>
  <c r="W188" i="1"/>
  <c r="AA164" i="1"/>
  <c r="AA17" i="8"/>
  <c r="AB47" i="2"/>
  <c r="Z165" i="8"/>
  <c r="Z281" i="5"/>
  <c r="P184" i="8"/>
  <c r="P269" i="5"/>
  <c r="AA15" i="8"/>
  <c r="AB45" i="2"/>
  <c r="AA162" i="1"/>
  <c r="AA19" i="8"/>
  <c r="AB49" i="2"/>
  <c r="AA166" i="1"/>
  <c r="AE179" i="5"/>
  <c r="AE117" i="8"/>
  <c r="AE288" i="5"/>
  <c r="AE256" i="5"/>
  <c r="AD11" i="10" s="1"/>
  <c r="AD12" i="10" s="1"/>
  <c r="AD14" i="10" s="1"/>
  <c r="AE136" i="8"/>
  <c r="AE242" i="5"/>
  <c r="R149" i="8"/>
  <c r="R37" i="11"/>
  <c r="R38" i="11" s="1"/>
  <c r="AE57" i="8"/>
  <c r="AD60" i="8"/>
  <c r="AB76" i="8"/>
  <c r="AB178" i="1"/>
  <c r="AB9" i="8"/>
  <c r="AC34" i="2"/>
  <c r="AB151" i="1"/>
  <c r="AB11" i="8"/>
  <c r="AB153" i="1"/>
  <c r="AC36" i="2"/>
  <c r="AD171" i="8"/>
  <c r="AD177" i="8" s="1"/>
  <c r="AD285" i="5"/>
  <c r="AD283" i="5" s="1"/>
  <c r="R34" i="11"/>
  <c r="R35" i="11" s="1"/>
  <c r="R130" i="8"/>
  <c r="AB160" i="8"/>
  <c r="S21" i="11"/>
  <c r="S23" i="11" s="1"/>
  <c r="S25" i="11" s="1"/>
  <c r="S28" i="11" s="1"/>
  <c r="V164" i="8"/>
  <c r="V280" i="5"/>
  <c r="V277" i="5" s="1"/>
  <c r="V276" i="5" s="1"/>
  <c r="V84" i="8"/>
  <c r="V133" i="8"/>
  <c r="V148" i="8" s="1"/>
  <c r="V12" i="11" s="1"/>
  <c r="AA80" i="8"/>
  <c r="AA163" i="8" s="1"/>
  <c r="AA187" i="1"/>
  <c r="T14" i="11"/>
  <c r="AE51" i="8"/>
  <c r="AD54" i="8"/>
  <c r="AB239" i="5"/>
  <c r="AB189" i="5"/>
  <c r="AB12" i="12"/>
  <c r="P268" i="5"/>
  <c r="P183" i="8"/>
  <c r="AG20" i="5"/>
  <c r="AF115" i="8"/>
  <c r="AF50" i="8"/>
  <c r="AA186" i="1"/>
  <c r="AA79" i="8"/>
  <c r="AA278" i="5" s="1"/>
  <c r="AG51" i="5"/>
  <c r="AH49" i="5" s="1"/>
  <c r="AH50" i="5" s="1"/>
  <c r="AH47" i="5"/>
  <c r="AG88" i="5"/>
  <c r="AG28" i="8"/>
  <c r="AG29" i="8" s="1"/>
  <c r="AH51" i="2"/>
  <c r="AF169" i="1"/>
  <c r="AH52" i="2" s="1"/>
  <c r="AG168" i="1"/>
  <c r="AF259" i="5"/>
  <c r="AF257" i="5"/>
  <c r="AA157" i="8"/>
  <c r="N31" i="9"/>
  <c r="N35" i="9" s="1"/>
  <c r="N11" i="12"/>
  <c r="N13" i="12" s="1"/>
  <c r="N21" i="12" s="1"/>
  <c r="Z166" i="8"/>
  <c r="Z282" i="5"/>
  <c r="AG93" i="8" l="1"/>
  <c r="AG175" i="8" s="1"/>
  <c r="AG174" i="8"/>
  <c r="AG84" i="5"/>
  <c r="AG85" i="5" s="1"/>
  <c r="AF298" i="5"/>
  <c r="AG50" i="8"/>
  <c r="AH20" i="5"/>
  <c r="AG115" i="8"/>
  <c r="AC178" i="1"/>
  <c r="AC76" i="8"/>
  <c r="AD299" i="5"/>
  <c r="AE90" i="5"/>
  <c r="AE91" i="5" s="1"/>
  <c r="AE92" i="5" s="1"/>
  <c r="AF25" i="8"/>
  <c r="AF31" i="8" s="1"/>
  <c r="AB190" i="1"/>
  <c r="AB83" i="8"/>
  <c r="AG56" i="8"/>
  <c r="AH25" i="5"/>
  <c r="AG134" i="8"/>
  <c r="AG59" i="8"/>
  <c r="Q182" i="8"/>
  <c r="Q103" i="8"/>
  <c r="Q267" i="5"/>
  <c r="AB18" i="8"/>
  <c r="AB165" i="1"/>
  <c r="AC48" i="2"/>
  <c r="AD139" i="8"/>
  <c r="AC142" i="8"/>
  <c r="AC9" i="8"/>
  <c r="AD34" i="2"/>
  <c r="AC151" i="1"/>
  <c r="AA67" i="8"/>
  <c r="X81" i="8"/>
  <c r="X188" i="1"/>
  <c r="P96" i="13"/>
  <c r="P66" i="13"/>
  <c r="P95" i="13"/>
  <c r="P100" i="13"/>
  <c r="P47" i="13"/>
  <c r="P15" i="13"/>
  <c r="P68" i="13"/>
  <c r="P94" i="13"/>
  <c r="P91" i="13"/>
  <c r="P42" i="13"/>
  <c r="P16" i="13"/>
  <c r="P46" i="13"/>
  <c r="P48" i="13"/>
  <c r="P71" i="13"/>
  <c r="P92" i="13"/>
  <c r="P40" i="13"/>
  <c r="P17" i="13"/>
  <c r="P50" i="13"/>
  <c r="P21" i="13"/>
  <c r="P93" i="13"/>
  <c r="P25" i="13"/>
  <c r="P18" i="13"/>
  <c r="P70" i="13"/>
  <c r="P41" i="13"/>
  <c r="P72" i="13"/>
  <c r="P19" i="13"/>
  <c r="P97" i="13"/>
  <c r="P49" i="13"/>
  <c r="P45" i="13"/>
  <c r="P20" i="13"/>
  <c r="P65" i="13"/>
  <c r="P75" i="13"/>
  <c r="P99" i="13"/>
  <c r="P23" i="13"/>
  <c r="P98" i="13"/>
  <c r="P90" i="13"/>
  <c r="P24" i="13"/>
  <c r="P44" i="13"/>
  <c r="P22" i="13"/>
  <c r="P74" i="13"/>
  <c r="P73" i="13"/>
  <c r="P67" i="13"/>
  <c r="P69" i="13"/>
  <c r="P43" i="13"/>
  <c r="AG25" i="8"/>
  <c r="AG31" i="8"/>
  <c r="P190" i="8"/>
  <c r="AH68" i="5"/>
  <c r="AF31" i="5"/>
  <c r="AE74" i="5"/>
  <c r="AF66" i="15"/>
  <c r="AF52" i="15"/>
  <c r="T15" i="11"/>
  <c r="T20" i="11"/>
  <c r="T22" i="11" s="1"/>
  <c r="T24" i="11" s="1"/>
  <c r="T27" i="11" s="1"/>
  <c r="AA165" i="8"/>
  <c r="AA281" i="5"/>
  <c r="O32" i="15"/>
  <c r="O18" i="15"/>
  <c r="O44" i="15"/>
  <c r="O35" i="15"/>
  <c r="O28" i="15"/>
  <c r="O20" i="15"/>
  <c r="O13" i="15"/>
  <c r="O75" i="15"/>
  <c r="O68" i="15"/>
  <c r="O72" i="15"/>
  <c r="O64" i="15"/>
  <c r="O57" i="15"/>
  <c r="O49" i="15"/>
  <c r="O74" i="15"/>
  <c r="O73" i="15"/>
  <c r="O41" i="15"/>
  <c r="O31" i="15"/>
  <c r="O36" i="15"/>
  <c r="O29" i="15"/>
  <c r="O21" i="15"/>
  <c r="O14" i="15"/>
  <c r="O76" i="15"/>
  <c r="O69" i="15"/>
  <c r="O61" i="15"/>
  <c r="O54" i="15"/>
  <c r="O58" i="15"/>
  <c r="O50" i="15"/>
  <c r="O46" i="15"/>
  <c r="O34" i="15"/>
  <c r="O19" i="15"/>
  <c r="O16" i="15"/>
  <c r="O71" i="15"/>
  <c r="O56" i="15"/>
  <c r="O17" i="15"/>
  <c r="O43" i="15"/>
  <c r="O12" i="15"/>
  <c r="O63" i="15"/>
  <c r="O59" i="15"/>
  <c r="O42" i="15"/>
  <c r="O26" i="15"/>
  <c r="O22" i="15"/>
  <c r="O77" i="15"/>
  <c r="O62" i="15"/>
  <c r="O47" i="15"/>
  <c r="O45" i="15"/>
  <c r="O27" i="15"/>
  <c r="O78" i="15"/>
  <c r="O48" i="15"/>
  <c r="O30" i="15"/>
  <c r="O40" i="15"/>
  <c r="O15" i="15"/>
  <c r="O60" i="15"/>
  <c r="O70" i="15"/>
  <c r="O33" i="15"/>
  <c r="O55" i="15"/>
  <c r="AF242" i="5"/>
  <c r="AF256" i="5"/>
  <c r="AE11" i="10" s="1"/>
  <c r="AE12" i="10" s="1"/>
  <c r="AE14" i="10" s="1"/>
  <c r="AF179" i="5"/>
  <c r="AF117" i="8"/>
  <c r="AF288" i="5"/>
  <c r="AF136" i="8"/>
  <c r="T21" i="11"/>
  <c r="T23" i="11" s="1"/>
  <c r="T25" i="11" s="1"/>
  <c r="T28" i="11" s="1"/>
  <c r="V13" i="11"/>
  <c r="S37" i="11"/>
  <c r="S38" i="11" s="1"/>
  <c r="S149" i="8"/>
  <c r="R39" i="11"/>
  <c r="R40" i="11" s="1"/>
  <c r="AC153" i="1"/>
  <c r="AD36" i="2"/>
  <c r="AC11" i="8"/>
  <c r="AB64" i="8"/>
  <c r="AF57" i="8"/>
  <c r="AE60" i="8"/>
  <c r="AB19" i="8"/>
  <c r="AC49" i="2"/>
  <c r="AB166" i="1"/>
  <c r="AB162" i="1"/>
  <c r="AB15" i="8"/>
  <c r="AB67" i="8" s="1"/>
  <c r="AC45" i="2"/>
  <c r="AD77" i="8"/>
  <c r="AD179" i="1"/>
  <c r="O11" i="12"/>
  <c r="O13" i="12" s="1"/>
  <c r="O21" i="12" s="1"/>
  <c r="O31" i="9"/>
  <c r="O35" i="9" s="1"/>
  <c r="AB189" i="1"/>
  <c r="AB82" i="8"/>
  <c r="AD123" i="8"/>
  <c r="AE120" i="8"/>
  <c r="AI40" i="2"/>
  <c r="AG158" i="1"/>
  <c r="AI41" i="2" s="1"/>
  <c r="AC175" i="1"/>
  <c r="AC73" i="8"/>
  <c r="AA166" i="8"/>
  <c r="AA282" i="5"/>
  <c r="Y44" i="8"/>
  <c r="AH9" i="5"/>
  <c r="AH18" i="5" s="1"/>
  <c r="AG18" i="5"/>
  <c r="AA9" i="11"/>
  <c r="AA7" i="12"/>
  <c r="AA10" i="12" s="1"/>
  <c r="AF8" i="11"/>
  <c r="AE33" i="11"/>
  <c r="Q183" i="8"/>
  <c r="Q268" i="5"/>
  <c r="AG86" i="5"/>
  <c r="Q189" i="8"/>
  <c r="Q274" i="5"/>
  <c r="Z10" i="11"/>
  <c r="AF35" i="5"/>
  <c r="AE76" i="5"/>
  <c r="AF182" i="1"/>
  <c r="AG181" i="1"/>
  <c r="AG88" i="8"/>
  <c r="AF5" i="12"/>
  <c r="AG13" i="13"/>
  <c r="AG38" i="13" s="1"/>
  <c r="AG63" i="13" s="1"/>
  <c r="AG88" i="13" s="1"/>
  <c r="AG6" i="5"/>
  <c r="AF53" i="5"/>
  <c r="AG10" i="15"/>
  <c r="AG24" i="15" s="1"/>
  <c r="AG38" i="15" s="1"/>
  <c r="P185" i="8"/>
  <c r="P191" i="8" s="1"/>
  <c r="AA20" i="8"/>
  <c r="AA32" i="8" s="1"/>
  <c r="U14" i="11"/>
  <c r="AG259" i="5"/>
  <c r="AG257" i="5"/>
  <c r="AA162" i="8"/>
  <c r="AB187" i="1"/>
  <c r="AB80" i="8"/>
  <c r="V167" i="8"/>
  <c r="V178" i="8" s="1"/>
  <c r="V96" i="8"/>
  <c r="V177" i="5" s="1"/>
  <c r="V181" i="5" s="1"/>
  <c r="AB17" i="8"/>
  <c r="AB164" i="1"/>
  <c r="AC47" i="2"/>
  <c r="AC160" i="8"/>
  <c r="AB114" i="8"/>
  <c r="AB129" i="8" s="1"/>
  <c r="AB156" i="8"/>
  <c r="AB163" i="1"/>
  <c r="AC46" i="2"/>
  <c r="AB16" i="8"/>
  <c r="AE177" i="8"/>
  <c r="K21" i="12"/>
  <c r="AH45" i="5"/>
  <c r="AH82" i="5"/>
  <c r="Q188" i="8"/>
  <c r="Q273" i="5"/>
  <c r="AC155" i="1"/>
  <c r="AC13" i="8"/>
  <c r="AD38" i="2"/>
  <c r="AF95" i="8"/>
  <c r="AF284" i="5"/>
  <c r="AF89" i="8"/>
  <c r="AF170" i="8"/>
  <c r="AE11" i="11"/>
  <c r="AD36" i="11"/>
  <c r="Z42" i="8"/>
  <c r="Z43" i="8"/>
  <c r="Z41" i="8"/>
  <c r="AG193" i="1"/>
  <c r="AH92" i="8"/>
  <c r="AH28" i="8"/>
  <c r="AH29" i="8" s="1"/>
  <c r="AI51" i="2"/>
  <c r="AG169" i="1"/>
  <c r="AI52" i="2" s="1"/>
  <c r="AB79" i="8"/>
  <c r="AB278" i="5" s="1"/>
  <c r="AB186" i="1"/>
  <c r="AE54" i="8"/>
  <c r="AF51" i="8"/>
  <c r="AB159" i="8"/>
  <c r="S130" i="8"/>
  <c r="S34" i="11"/>
  <c r="S35" i="11" s="1"/>
  <c r="S39" i="11" s="1"/>
  <c r="S40" i="11" s="1"/>
  <c r="AG6" i="11"/>
  <c r="AF7" i="11"/>
  <c r="AC176" i="1"/>
  <c r="AC74" i="8"/>
  <c r="AC12" i="8"/>
  <c r="AD37" i="2"/>
  <c r="AC154" i="1"/>
  <c r="AG52" i="8"/>
  <c r="AC12" i="12"/>
  <c r="AC189" i="5"/>
  <c r="AC239" i="5"/>
  <c r="Y45" i="8"/>
  <c r="Y46" i="8" s="1"/>
  <c r="AC75" i="8"/>
  <c r="AC158" i="8" s="1"/>
  <c r="AC177" i="1"/>
  <c r="P33" i="9"/>
  <c r="P79" i="5"/>
  <c r="P80" i="5" s="1"/>
  <c r="P289" i="5"/>
  <c r="P11" i="9" s="1"/>
  <c r="AG141" i="8"/>
  <c r="AA279" i="5"/>
  <c r="AH51" i="5"/>
  <c r="R101" i="8"/>
  <c r="R100" i="8"/>
  <c r="R102" i="8"/>
  <c r="R106" i="8"/>
  <c r="R107" i="8"/>
  <c r="R105" i="8"/>
  <c r="W164" i="8"/>
  <c r="W280" i="5"/>
  <c r="W277" i="5" s="1"/>
  <c r="W276" i="5" s="1"/>
  <c r="W84" i="8"/>
  <c r="W133" i="8"/>
  <c r="W148" i="8" s="1"/>
  <c r="W12" i="11" s="1"/>
  <c r="U241" i="5"/>
  <c r="U18" i="12"/>
  <c r="U20" i="12" s="1"/>
  <c r="U191" i="5"/>
  <c r="U193" i="5" s="1"/>
  <c r="AE18" i="11"/>
  <c r="AE32" i="11"/>
  <c r="AE71" i="5"/>
  <c r="AE72" i="5" s="1"/>
  <c r="AF70" i="5" s="1"/>
  <c r="AE135" i="8"/>
  <c r="AK69" i="2"/>
  <c r="AH12" i="3"/>
  <c r="AH24" i="8" s="1"/>
  <c r="AB279" i="5"/>
  <c r="AB157" i="8"/>
  <c r="AC152" i="1"/>
  <c r="AD35" i="2"/>
  <c r="AC10" i="8"/>
  <c r="AG59" i="5"/>
  <c r="AG60" i="5" s="1"/>
  <c r="AH58" i="5" s="1"/>
  <c r="P110" i="8"/>
  <c r="P207" i="5" s="1"/>
  <c r="P302" i="5"/>
  <c r="P211" i="5" s="1"/>
  <c r="P10" i="9"/>
  <c r="P175" i="5"/>
  <c r="N76" i="15"/>
  <c r="N69" i="15"/>
  <c r="N61" i="15"/>
  <c r="N54" i="15"/>
  <c r="N58" i="15"/>
  <c r="N50" i="15"/>
  <c r="N43" i="15"/>
  <c r="N34" i="15"/>
  <c r="N27" i="15"/>
  <c r="N19" i="15"/>
  <c r="N12" i="15"/>
  <c r="N16" i="15"/>
  <c r="N17" i="15"/>
  <c r="N32" i="15"/>
  <c r="N77" i="15"/>
  <c r="N70" i="15"/>
  <c r="N62" i="15"/>
  <c r="N55" i="15"/>
  <c r="N47" i="15"/>
  <c r="N40" i="15"/>
  <c r="N44" i="15"/>
  <c r="N35" i="15"/>
  <c r="N28" i="15"/>
  <c r="N20" i="15"/>
  <c r="N13" i="15"/>
  <c r="N74" i="15"/>
  <c r="N73" i="15"/>
  <c r="N18" i="15"/>
  <c r="N71" i="15"/>
  <c r="N56" i="15"/>
  <c r="N41" i="15"/>
  <c r="N36" i="15"/>
  <c r="N21" i="15"/>
  <c r="N59" i="15"/>
  <c r="N75" i="15"/>
  <c r="N72" i="15"/>
  <c r="N57" i="15"/>
  <c r="N42" i="15"/>
  <c r="N26" i="15"/>
  <c r="N22" i="15"/>
  <c r="N45" i="15"/>
  <c r="N64" i="15"/>
  <c r="N33" i="15"/>
  <c r="N15" i="15"/>
  <c r="N68" i="15"/>
  <c r="N30" i="15"/>
  <c r="N78" i="15"/>
  <c r="N48" i="15"/>
  <c r="N29" i="15"/>
  <c r="N60" i="15"/>
  <c r="N49" i="15"/>
  <c r="N46" i="15"/>
  <c r="N14" i="15"/>
  <c r="N63" i="15"/>
  <c r="N31" i="15"/>
  <c r="AE285" i="5"/>
  <c r="AE283" i="5" s="1"/>
  <c r="AE171" i="8"/>
  <c r="AH14" i="5"/>
  <c r="Q269" i="5"/>
  <c r="Q184" i="8"/>
  <c r="Q108" i="8"/>
  <c r="Q109" i="8" s="1"/>
  <c r="Q187" i="8"/>
  <c r="Q190" i="8" s="1"/>
  <c r="Q272" i="5"/>
  <c r="AB158" i="8"/>
  <c r="AK75" i="2"/>
  <c r="AK76" i="2"/>
  <c r="AD124" i="5"/>
  <c r="AD94" i="5"/>
  <c r="AD116" i="8"/>
  <c r="AD38" i="5"/>
  <c r="AD39" i="5" s="1"/>
  <c r="AE37" i="5" s="1"/>
  <c r="AK71" i="2"/>
  <c r="AH14" i="3"/>
  <c r="AA38" i="8"/>
  <c r="AA37" i="8"/>
  <c r="AA36" i="8"/>
  <c r="AA39" i="8" s="1"/>
  <c r="AH25" i="8" l="1"/>
  <c r="AH31" i="8" s="1"/>
  <c r="AH86" i="5"/>
  <c r="AH298" i="5" s="1"/>
  <c r="P192" i="8"/>
  <c r="P32" i="9"/>
  <c r="P238" i="5"/>
  <c r="P240" i="5" s="1"/>
  <c r="P188" i="5"/>
  <c r="P190" i="5" s="1"/>
  <c r="P194" i="5" s="1"/>
  <c r="AB281" i="5"/>
  <c r="AB165" i="8"/>
  <c r="AB38" i="8"/>
  <c r="AB37" i="8"/>
  <c r="AB36" i="8"/>
  <c r="AB39" i="8" s="1"/>
  <c r="V21" i="11"/>
  <c r="V23" i="11" s="1"/>
  <c r="V25" i="11" s="1"/>
  <c r="V28" i="11" s="1"/>
  <c r="V14" i="11"/>
  <c r="X280" i="5"/>
  <c r="X277" i="5" s="1"/>
  <c r="X276" i="5" s="1"/>
  <c r="X164" i="8"/>
  <c r="X133" i="8"/>
  <c r="X148" i="8" s="1"/>
  <c r="X12" i="11" s="1"/>
  <c r="X84" i="8"/>
  <c r="AE116" i="8"/>
  <c r="AE38" i="5"/>
  <c r="AE39" i="5" s="1"/>
  <c r="AF37" i="5" s="1"/>
  <c r="AF71" i="5"/>
  <c r="AF72" i="5" s="1"/>
  <c r="AG70" i="5" s="1"/>
  <c r="AF135" i="8"/>
  <c r="W96" i="8"/>
  <c r="W177" i="5" s="1"/>
  <c r="W181" i="5" s="1"/>
  <c r="W167" i="8"/>
  <c r="W178" i="8" s="1"/>
  <c r="R183" i="8"/>
  <c r="R268" i="5"/>
  <c r="AH93" i="8"/>
  <c r="AH175" i="8" s="1"/>
  <c r="AH174" i="8"/>
  <c r="AF177" i="8"/>
  <c r="U15" i="11"/>
  <c r="U20" i="11"/>
  <c r="U22" i="11" s="1"/>
  <c r="U24" i="11" s="1"/>
  <c r="U27" i="11" s="1"/>
  <c r="AA10" i="11"/>
  <c r="AC114" i="8"/>
  <c r="AC129" i="8" s="1"/>
  <c r="AC156" i="8"/>
  <c r="AC278" i="5"/>
  <c r="AE179" i="1"/>
  <c r="AE77" i="8"/>
  <c r="AD45" i="2"/>
  <c r="AC15" i="8"/>
  <c r="AC20" i="8" s="1"/>
  <c r="AC32" i="8" s="1"/>
  <c r="AC162" i="1"/>
  <c r="AB20" i="8"/>
  <c r="AB32" i="8" s="1"/>
  <c r="AE139" i="8"/>
  <c r="AD142" i="8"/>
  <c r="AH59" i="8"/>
  <c r="Q10" i="9"/>
  <c r="Q110" i="8"/>
  <c r="Q207" i="5" s="1"/>
  <c r="Q302" i="5"/>
  <c r="Q211" i="5" s="1"/>
  <c r="Q175" i="5"/>
  <c r="AE35" i="2"/>
  <c r="AD152" i="1"/>
  <c r="AD10" i="8"/>
  <c r="R273" i="5"/>
  <c r="R188" i="8"/>
  <c r="AH88" i="5"/>
  <c r="AH141" i="8"/>
  <c r="AH52" i="8"/>
  <c r="AC157" i="8"/>
  <c r="AG51" i="8"/>
  <c r="AF54" i="8"/>
  <c r="AF171" i="8"/>
  <c r="AF285" i="5"/>
  <c r="AC17" i="8"/>
  <c r="AD47" i="2"/>
  <c r="AC164" i="1"/>
  <c r="AB163" i="8"/>
  <c r="AG117" i="8"/>
  <c r="AG179" i="5"/>
  <c r="AG288" i="5"/>
  <c r="AG242" i="5"/>
  <c r="AG136" i="8"/>
  <c r="AG256" i="5"/>
  <c r="AF11" i="10" s="1"/>
  <c r="AF12" i="10" s="1"/>
  <c r="AF14" i="10" s="1"/>
  <c r="U21" i="11"/>
  <c r="U23" i="11" s="1"/>
  <c r="U25" i="11" s="1"/>
  <c r="U28" i="11" s="1"/>
  <c r="AG284" i="5"/>
  <c r="AG89" i="8"/>
  <c r="AG170" i="8"/>
  <c r="AD175" i="1"/>
  <c r="AD73" i="8"/>
  <c r="AF120" i="8"/>
  <c r="AE123" i="8"/>
  <c r="AC166" i="1"/>
  <c r="AC19" i="8"/>
  <c r="AD49" i="2"/>
  <c r="S106" i="8"/>
  <c r="S107" i="8"/>
  <c r="S105" i="8"/>
  <c r="T149" i="8"/>
  <c r="T37" i="11"/>
  <c r="T38" i="11" s="1"/>
  <c r="AE124" i="5"/>
  <c r="AE94" i="5"/>
  <c r="AE34" i="2"/>
  <c r="AD9" i="8"/>
  <c r="AD151" i="1"/>
  <c r="AB166" i="8"/>
  <c r="AB282" i="5"/>
  <c r="AC159" i="8"/>
  <c r="AD12" i="12"/>
  <c r="AD189" i="5"/>
  <c r="AD239" i="5"/>
  <c r="W13" i="11"/>
  <c r="R108" i="8"/>
  <c r="R109" i="8" s="1"/>
  <c r="R272" i="5"/>
  <c r="R187" i="8"/>
  <c r="R103" i="8"/>
  <c r="R267" i="5"/>
  <c r="R182" i="8"/>
  <c r="AF18" i="11"/>
  <c r="AF32" i="11"/>
  <c r="AC186" i="1"/>
  <c r="AC79" i="8"/>
  <c r="AF11" i="11"/>
  <c r="AE36" i="11"/>
  <c r="AH84" i="5"/>
  <c r="AH85" i="5" s="1"/>
  <c r="AG298" i="5"/>
  <c r="AB42" i="8"/>
  <c r="AB43" i="8"/>
  <c r="AB41" i="8"/>
  <c r="AE36" i="2"/>
  <c r="AD153" i="1"/>
  <c r="AD11" i="8"/>
  <c r="AC64" i="8"/>
  <c r="AH56" i="8"/>
  <c r="AH134" i="8"/>
  <c r="AE299" i="5"/>
  <c r="AF90" i="5"/>
  <c r="AF91" i="5" s="1"/>
  <c r="AF92" i="5" s="1"/>
  <c r="R274" i="5"/>
  <c r="R189" i="8"/>
  <c r="Q78" i="5"/>
  <c r="P297" i="5"/>
  <c r="P296" i="5" s="1"/>
  <c r="AH6" i="11"/>
  <c r="AH7" i="11" s="1"/>
  <c r="AG7" i="11"/>
  <c r="AB162" i="8"/>
  <c r="V241" i="5"/>
  <c r="V18" i="12"/>
  <c r="V20" i="12" s="1"/>
  <c r="V191" i="5"/>
  <c r="V193" i="5" s="1"/>
  <c r="AG52" i="15"/>
  <c r="AG66" i="15"/>
  <c r="AG8" i="11"/>
  <c r="AF33" i="11"/>
  <c r="AC189" i="1"/>
  <c r="AC82" i="8"/>
  <c r="T130" i="8"/>
  <c r="T34" i="11"/>
  <c r="T35" i="11" s="1"/>
  <c r="AA42" i="8"/>
  <c r="AA43" i="8"/>
  <c r="AA41" i="8"/>
  <c r="AH115" i="8"/>
  <c r="AH50" i="8"/>
  <c r="AH59" i="5"/>
  <c r="R184" i="8"/>
  <c r="R269" i="5"/>
  <c r="AD75" i="8"/>
  <c r="AD158" i="8" s="1"/>
  <c r="AD177" i="1"/>
  <c r="AD154" i="1"/>
  <c r="AD12" i="8"/>
  <c r="AE37" i="2"/>
  <c r="AD176" i="1"/>
  <c r="AD74" i="8"/>
  <c r="S101" i="8"/>
  <c r="S102" i="8"/>
  <c r="S100" i="8"/>
  <c r="Z44" i="8"/>
  <c r="Z45" i="8" s="1"/>
  <c r="Z46" i="8" s="1"/>
  <c r="AF283" i="5"/>
  <c r="AD13" i="8"/>
  <c r="AD160" i="8" s="1"/>
  <c r="AE38" i="2"/>
  <c r="AD155" i="1"/>
  <c r="L73" i="15"/>
  <c r="L74" i="15"/>
  <c r="L32" i="15"/>
  <c r="L77" i="15"/>
  <c r="L70" i="15"/>
  <c r="L62" i="15"/>
  <c r="L55" i="15"/>
  <c r="L47" i="15"/>
  <c r="L40" i="15"/>
  <c r="L44" i="15"/>
  <c r="L36" i="15"/>
  <c r="L29" i="15"/>
  <c r="L21" i="15"/>
  <c r="L14" i="15"/>
  <c r="L60" i="15"/>
  <c r="L59" i="15"/>
  <c r="L18" i="15"/>
  <c r="L78" i="15"/>
  <c r="L71" i="15"/>
  <c r="L63" i="15"/>
  <c r="L56" i="15"/>
  <c r="L48" i="15"/>
  <c r="L41" i="15"/>
  <c r="L33" i="15"/>
  <c r="L26" i="15"/>
  <c r="L30" i="15"/>
  <c r="L22" i="15"/>
  <c r="L15" i="15"/>
  <c r="L46" i="15"/>
  <c r="L75" i="15"/>
  <c r="L72" i="15"/>
  <c r="L57" i="15"/>
  <c r="L42" i="15"/>
  <c r="L27" i="15"/>
  <c r="L12" i="15"/>
  <c r="L31" i="15"/>
  <c r="L76" i="15"/>
  <c r="L61" i="15"/>
  <c r="L58" i="15"/>
  <c r="L43" i="15"/>
  <c r="L28" i="15"/>
  <c r="L13" i="15"/>
  <c r="L17" i="15"/>
  <c r="L54" i="15"/>
  <c r="L35" i="15"/>
  <c r="L50" i="15"/>
  <c r="L68" i="15"/>
  <c r="L49" i="15"/>
  <c r="L19" i="15"/>
  <c r="L69" i="15"/>
  <c r="L20" i="15"/>
  <c r="L16" i="15"/>
  <c r="L34" i="15"/>
  <c r="L45" i="15"/>
  <c r="L64" i="15"/>
  <c r="AC16" i="8"/>
  <c r="AD46" i="2"/>
  <c r="AC163" i="1"/>
  <c r="AB7" i="12"/>
  <c r="AB10" i="12" s="1"/>
  <c r="AB9" i="11"/>
  <c r="AC187" i="1"/>
  <c r="AC80" i="8"/>
  <c r="AC163" i="8" s="1"/>
  <c r="AH257" i="5"/>
  <c r="AH259" i="5"/>
  <c r="AH13" i="13"/>
  <c r="AH38" i="13" s="1"/>
  <c r="AH63" i="13" s="1"/>
  <c r="AH88" i="13" s="1"/>
  <c r="AH6" i="5"/>
  <c r="AG5" i="12"/>
  <c r="AH10" i="15"/>
  <c r="AH24" i="15" s="1"/>
  <c r="AH38" i="15" s="1"/>
  <c r="AG53" i="5"/>
  <c r="AG182" i="1"/>
  <c r="AH88" i="8"/>
  <c r="AF76" i="5"/>
  <c r="AG35" i="5"/>
  <c r="P73" i="15"/>
  <c r="P74" i="15"/>
  <c r="P76" i="15"/>
  <c r="P69" i="15"/>
  <c r="P61" i="15"/>
  <c r="P54" i="15"/>
  <c r="P58" i="15"/>
  <c r="P50" i="15"/>
  <c r="P18" i="15"/>
  <c r="P44" i="15"/>
  <c r="P36" i="15"/>
  <c r="P29" i="15"/>
  <c r="P21" i="15"/>
  <c r="P14" i="15"/>
  <c r="P60" i="15"/>
  <c r="P59" i="15"/>
  <c r="P77" i="15"/>
  <c r="P70" i="15"/>
  <c r="P62" i="15"/>
  <c r="P55" i="15"/>
  <c r="P47" i="15"/>
  <c r="P40" i="15"/>
  <c r="P41" i="15"/>
  <c r="P33" i="15"/>
  <c r="P26" i="15"/>
  <c r="P30" i="15"/>
  <c r="P22" i="15"/>
  <c r="P15" i="15"/>
  <c r="P31" i="15"/>
  <c r="P68" i="15"/>
  <c r="P64" i="15"/>
  <c r="P49" i="15"/>
  <c r="P43" i="15"/>
  <c r="P28" i="15"/>
  <c r="P13" i="15"/>
  <c r="P75" i="15"/>
  <c r="P57" i="15"/>
  <c r="P17" i="15"/>
  <c r="P20" i="15"/>
  <c r="P45" i="15"/>
  <c r="P71" i="15"/>
  <c r="P56" i="15"/>
  <c r="P32" i="15"/>
  <c r="P34" i="15"/>
  <c r="P19" i="15"/>
  <c r="P16" i="15"/>
  <c r="P72" i="15"/>
  <c r="P35" i="15"/>
  <c r="P78" i="15"/>
  <c r="P27" i="15"/>
  <c r="P46" i="15"/>
  <c r="P63" i="15"/>
  <c r="P12" i="15"/>
  <c r="P48" i="15"/>
  <c r="P42" i="15"/>
  <c r="AG57" i="8"/>
  <c r="AF60" i="8"/>
  <c r="AG31" i="5"/>
  <c r="AF74" i="5"/>
  <c r="Y188" i="1"/>
  <c r="Y81" i="8"/>
  <c r="AD48" i="2"/>
  <c r="AC165" i="1"/>
  <c r="AC18" i="8"/>
  <c r="Q185" i="8"/>
  <c r="Q191" i="8" s="1"/>
  <c r="AC190" i="1"/>
  <c r="AC83" i="8"/>
  <c r="AD178" i="1"/>
  <c r="AD76" i="8"/>
  <c r="AD159" i="8" s="1"/>
  <c r="AC166" i="8" l="1"/>
  <c r="AC282" i="5"/>
  <c r="AF94" i="5"/>
  <c r="AF124" i="5"/>
  <c r="S103" i="8"/>
  <c r="S267" i="5"/>
  <c r="S182" i="8"/>
  <c r="AE75" i="8"/>
  <c r="AE177" i="1"/>
  <c r="AD82" i="8"/>
  <c r="AD189" i="1"/>
  <c r="AD64" i="8"/>
  <c r="S188" i="8"/>
  <c r="S273" i="5"/>
  <c r="AF35" i="2"/>
  <c r="AE10" i="8"/>
  <c r="AE152" i="1"/>
  <c r="AF139" i="8"/>
  <c r="AE142" i="8"/>
  <c r="X13" i="11"/>
  <c r="AD83" i="8"/>
  <c r="AD190" i="1"/>
  <c r="AH31" i="5"/>
  <c r="AH74" i="5" s="1"/>
  <c r="AG74" i="5"/>
  <c r="AH5" i="12"/>
  <c r="AI10" i="15"/>
  <c r="AI24" i="15" s="1"/>
  <c r="AI38" i="15" s="1"/>
  <c r="AI13" i="13"/>
  <c r="AI38" i="13" s="1"/>
  <c r="AI63" i="13" s="1"/>
  <c r="AI88" i="13" s="1"/>
  <c r="AH53" i="5"/>
  <c r="S269" i="5"/>
  <c r="S184" i="8"/>
  <c r="T39" i="11"/>
  <c r="T40" i="11" s="1"/>
  <c r="AG90" i="5"/>
  <c r="AG91" i="5" s="1"/>
  <c r="AG92" i="5" s="1"/>
  <c r="AF299" i="5"/>
  <c r="AG11" i="11"/>
  <c r="AF36" i="11"/>
  <c r="T106" i="8"/>
  <c r="T107" i="8"/>
  <c r="T105" i="8"/>
  <c r="U149" i="8"/>
  <c r="U37" i="11"/>
  <c r="U38" i="11" s="1"/>
  <c r="AH51" i="8"/>
  <c r="AG54" i="8"/>
  <c r="AF116" i="8"/>
  <c r="AF38" i="5"/>
  <c r="AF39" i="5" s="1"/>
  <c r="AG37" i="5" s="1"/>
  <c r="Q192" i="8"/>
  <c r="Q188" i="5"/>
  <c r="Q190" i="5" s="1"/>
  <c r="Q194" i="5" s="1"/>
  <c r="Q32" i="9"/>
  <c r="Q238" i="5"/>
  <c r="Q240" i="5" s="1"/>
  <c r="AE13" i="8"/>
  <c r="AF38" i="2"/>
  <c r="AE155" i="1"/>
  <c r="S183" i="8"/>
  <c r="S268" i="5"/>
  <c r="AA44" i="8"/>
  <c r="AA45" i="8" s="1"/>
  <c r="AA46" i="8" s="1"/>
  <c r="T102" i="8"/>
  <c r="T100" i="8"/>
  <c r="T101" i="8"/>
  <c r="Q289" i="5"/>
  <c r="Q11" i="9" s="1"/>
  <c r="Q33" i="9"/>
  <c r="Q79" i="5"/>
  <c r="Q80" i="5" s="1"/>
  <c r="AB44" i="8"/>
  <c r="AB45" i="8" s="1"/>
  <c r="AB46" i="8" s="1"/>
  <c r="AC162" i="8"/>
  <c r="R190" i="8"/>
  <c r="S187" i="8"/>
  <c r="S190" i="8" s="1"/>
  <c r="S108" i="8"/>
  <c r="S272" i="5"/>
  <c r="AD114" i="8"/>
  <c r="AD129" i="8" s="1"/>
  <c r="AD278" i="5"/>
  <c r="AD156" i="8"/>
  <c r="AG171" i="8"/>
  <c r="AG285" i="5"/>
  <c r="AE47" i="2"/>
  <c r="AD164" i="1"/>
  <c r="AD17" i="8"/>
  <c r="AC279" i="5"/>
  <c r="AE160" i="8"/>
  <c r="U34" i="11"/>
  <c r="U35" i="11" s="1"/>
  <c r="U39" i="11" s="1"/>
  <c r="U40" i="11" s="1"/>
  <c r="U130" i="8"/>
  <c r="AD18" i="8"/>
  <c r="AD165" i="1"/>
  <c r="AE48" i="2"/>
  <c r="AH57" i="8"/>
  <c r="AG60" i="8"/>
  <c r="AH89" i="8"/>
  <c r="AH284" i="5"/>
  <c r="AH170" i="8"/>
  <c r="AH136" i="8"/>
  <c r="AH242" i="5"/>
  <c r="AH117" i="8"/>
  <c r="AH256" i="5"/>
  <c r="AG11" i="10" s="1"/>
  <c r="AG12" i="10" s="1"/>
  <c r="AG14" i="10" s="1"/>
  <c r="AH179" i="5"/>
  <c r="AH288" i="5"/>
  <c r="AE176" i="1"/>
  <c r="AE74" i="8"/>
  <c r="AH18" i="11"/>
  <c r="AH32" i="11"/>
  <c r="AF36" i="2"/>
  <c r="AE153" i="1"/>
  <c r="AE11" i="8"/>
  <c r="R110" i="8"/>
  <c r="R207" i="5" s="1"/>
  <c r="R302" i="5"/>
  <c r="R211" i="5" s="1"/>
  <c r="R10" i="9"/>
  <c r="R175" i="5"/>
  <c r="AD19" i="8"/>
  <c r="AD166" i="1"/>
  <c r="AE49" i="2"/>
  <c r="AG283" i="5"/>
  <c r="AC67" i="8"/>
  <c r="AG71" i="5"/>
  <c r="AG72" i="5" s="1"/>
  <c r="AH70" i="5" s="1"/>
  <c r="AG135" i="8"/>
  <c r="V37" i="11"/>
  <c r="V38" i="11" s="1"/>
  <c r="V149" i="8"/>
  <c r="Q94" i="13"/>
  <c r="Q91" i="13"/>
  <c r="Q49" i="13"/>
  <c r="Q16" i="13"/>
  <c r="Q73" i="13"/>
  <c r="Q20" i="13"/>
  <c r="Q98" i="13"/>
  <c r="Q65" i="13"/>
  <c r="Q24" i="13"/>
  <c r="Q96" i="13"/>
  <c r="Q43" i="13"/>
  <c r="Q21" i="13"/>
  <c r="Q93" i="13"/>
  <c r="Q42" i="13"/>
  <c r="Q18" i="13"/>
  <c r="Q66" i="13"/>
  <c r="Q95" i="13"/>
  <c r="Q100" i="13"/>
  <c r="Q47" i="13"/>
  <c r="Q15" i="13"/>
  <c r="Q19" i="13"/>
  <c r="Q50" i="13"/>
  <c r="Q90" i="13"/>
  <c r="Q67" i="13"/>
  <c r="Q44" i="13"/>
  <c r="Q69" i="13"/>
  <c r="Q22" i="13"/>
  <c r="Q68" i="13"/>
  <c r="Q25" i="13"/>
  <c r="Q72" i="13"/>
  <c r="Q97" i="13"/>
  <c r="Q23" i="13"/>
  <c r="Q48" i="13"/>
  <c r="Q92" i="13"/>
  <c r="Q17" i="13"/>
  <c r="Q99" i="13"/>
  <c r="Q41" i="13"/>
  <c r="Q45" i="13"/>
  <c r="Q46" i="13"/>
  <c r="Q71" i="13"/>
  <c r="Q70" i="13"/>
  <c r="Q40" i="13"/>
  <c r="Q74" i="13"/>
  <c r="Q75" i="13"/>
  <c r="AD16" i="8"/>
  <c r="AE46" i="2"/>
  <c r="AD163" i="1"/>
  <c r="AC38" i="8"/>
  <c r="AC37" i="8"/>
  <c r="AC36" i="8"/>
  <c r="W21" i="11"/>
  <c r="W23" i="11" s="1"/>
  <c r="W25" i="11" s="1"/>
  <c r="W28" i="11" s="1"/>
  <c r="W14" i="11"/>
  <c r="AF123" i="8"/>
  <c r="AG120" i="8"/>
  <c r="AG177" i="8"/>
  <c r="W18" i="12"/>
  <c r="W20" i="12" s="1"/>
  <c r="W191" i="5"/>
  <c r="W193" i="5" s="1"/>
  <c r="W241" i="5"/>
  <c r="Y164" i="8"/>
  <c r="Y280" i="5"/>
  <c r="Y277" i="5" s="1"/>
  <c r="Y276" i="5" s="1"/>
  <c r="Y84" i="8"/>
  <c r="Y133" i="8"/>
  <c r="Y148" i="8" s="1"/>
  <c r="Y12" i="11" s="1"/>
  <c r="AH35" i="5"/>
  <c r="AG76" i="5"/>
  <c r="AD187" i="1"/>
  <c r="AD80" i="8"/>
  <c r="AD163" i="8" s="1"/>
  <c r="AE178" i="1"/>
  <c r="AE76" i="8"/>
  <c r="Z188" i="1"/>
  <c r="Z81" i="8"/>
  <c r="AH66" i="15"/>
  <c r="AH52" i="15"/>
  <c r="AB10" i="11"/>
  <c r="AD157" i="8"/>
  <c r="AE154" i="1"/>
  <c r="AF37" i="2"/>
  <c r="AE12" i="8"/>
  <c r="AH60" i="5"/>
  <c r="AC165" i="8"/>
  <c r="AC281" i="5"/>
  <c r="AH8" i="11"/>
  <c r="AG33" i="11"/>
  <c r="AG32" i="11"/>
  <c r="AG18" i="11"/>
  <c r="AD186" i="1"/>
  <c r="AD79" i="8"/>
  <c r="R185" i="8"/>
  <c r="R191" i="8" s="1"/>
  <c r="AE9" i="8"/>
  <c r="AE151" i="1"/>
  <c r="AF34" i="2"/>
  <c r="AE239" i="5"/>
  <c r="AE189" i="5"/>
  <c r="AE12" i="12"/>
  <c r="S189" i="8"/>
  <c r="S274" i="5"/>
  <c r="AE73" i="8"/>
  <c r="AE175" i="1"/>
  <c r="AG95" i="8"/>
  <c r="AD15" i="8"/>
  <c r="AD67" i="8" s="1"/>
  <c r="AE45" i="2"/>
  <c r="AD162" i="1"/>
  <c r="AF77" i="8"/>
  <c r="AF179" i="1"/>
  <c r="AC7" i="12"/>
  <c r="AC10" i="12" s="1"/>
  <c r="AC9" i="11"/>
  <c r="X167" i="8"/>
  <c r="X178" i="8" s="1"/>
  <c r="X96" i="8"/>
  <c r="X177" i="5" s="1"/>
  <c r="X181" i="5" s="1"/>
  <c r="V15" i="11"/>
  <c r="V20" i="11"/>
  <c r="V22" i="11" s="1"/>
  <c r="V24" i="11" s="1"/>
  <c r="V27" i="11" s="1"/>
  <c r="P11" i="12"/>
  <c r="P13" i="12" s="1"/>
  <c r="P21" i="12" s="1"/>
  <c r="P31" i="9"/>
  <c r="P35" i="9" s="1"/>
  <c r="AF154" i="1" l="1"/>
  <c r="AG37" i="2"/>
  <c r="AF12" i="8"/>
  <c r="W37" i="11"/>
  <c r="W38" i="11" s="1"/>
  <c r="W149" i="8"/>
  <c r="AF176" i="1"/>
  <c r="AF74" i="8"/>
  <c r="AH283" i="5"/>
  <c r="U101" i="8"/>
  <c r="U102" i="8"/>
  <c r="U100" i="8"/>
  <c r="U106" i="8"/>
  <c r="U107" i="8"/>
  <c r="U105" i="8"/>
  <c r="AI52" i="15"/>
  <c r="AI66" i="15"/>
  <c r="AF75" i="8"/>
  <c r="AF177" i="1"/>
  <c r="AD42" i="8"/>
  <c r="AD43" i="8"/>
  <c r="AD41" i="8"/>
  <c r="R188" i="5"/>
  <c r="R190" i="5" s="1"/>
  <c r="R194" i="5" s="1"/>
  <c r="R238" i="5"/>
  <c r="R240" i="5" s="1"/>
  <c r="R192" i="8"/>
  <c r="R32" i="9"/>
  <c r="Z280" i="5"/>
  <c r="Z277" i="5" s="1"/>
  <c r="Z276" i="5" s="1"/>
  <c r="Z164" i="8"/>
  <c r="Z84" i="8"/>
  <c r="Z133" i="8"/>
  <c r="Z148" i="8" s="1"/>
  <c r="Z12" i="11" s="1"/>
  <c r="AH76" i="5"/>
  <c r="AH120" i="8"/>
  <c r="AH123" i="8" s="1"/>
  <c r="AG123" i="8"/>
  <c r="AH285" i="5"/>
  <c r="AH171" i="8"/>
  <c r="T272" i="5"/>
  <c r="T187" i="8"/>
  <c r="T190" i="8" s="1"/>
  <c r="T108" i="8"/>
  <c r="AD38" i="8"/>
  <c r="AD37" i="8"/>
  <c r="AD36" i="8"/>
  <c r="AD39" i="8" s="1"/>
  <c r="X191" i="5"/>
  <c r="X193" i="5" s="1"/>
  <c r="X18" i="12"/>
  <c r="X20" i="12" s="1"/>
  <c r="X241" i="5"/>
  <c r="AF160" i="8"/>
  <c r="AF73" i="8"/>
  <c r="AF175" i="1"/>
  <c r="AF151" i="1"/>
  <c r="AG34" i="2"/>
  <c r="AF9" i="8"/>
  <c r="AD279" i="5"/>
  <c r="Y13" i="11"/>
  <c r="AC39" i="8"/>
  <c r="V34" i="11"/>
  <c r="V35" i="11" s="1"/>
  <c r="V39" i="11" s="1"/>
  <c r="V40" i="11" s="1"/>
  <c r="V130" i="8"/>
  <c r="AC10" i="11"/>
  <c r="AE15" i="8"/>
  <c r="AE67" i="8" s="1"/>
  <c r="AE162" i="1"/>
  <c r="AF45" i="2"/>
  <c r="AE278" i="5"/>
  <c r="AE114" i="8"/>
  <c r="AE129" i="8" s="1"/>
  <c r="AE156" i="8"/>
  <c r="AE64" i="8"/>
  <c r="AE79" i="8"/>
  <c r="AE186" i="1"/>
  <c r="AE159" i="8"/>
  <c r="Y96" i="8"/>
  <c r="Y177" i="5" s="1"/>
  <c r="Y181" i="5" s="1"/>
  <c r="Y167" i="8"/>
  <c r="Y178" i="8" s="1"/>
  <c r="W15" i="11"/>
  <c r="W20" i="11"/>
  <c r="W22" i="11" s="1"/>
  <c r="W24" i="11" s="1"/>
  <c r="W27" i="11" s="1"/>
  <c r="AH71" i="5"/>
  <c r="AH135" i="8"/>
  <c r="AE157" i="8"/>
  <c r="AH177" i="8"/>
  <c r="S109" i="8"/>
  <c r="Q297" i="5"/>
  <c r="Q296" i="5" s="1"/>
  <c r="R78" i="5"/>
  <c r="T183" i="8"/>
  <c r="T268" i="5"/>
  <c r="T273" i="5"/>
  <c r="T188" i="8"/>
  <c r="AH94" i="5"/>
  <c r="AH124" i="5"/>
  <c r="AF152" i="1"/>
  <c r="AG35" i="2"/>
  <c r="AF10" i="8"/>
  <c r="AD281" i="5"/>
  <c r="AD165" i="8"/>
  <c r="AF12" i="12"/>
  <c r="AF239" i="5"/>
  <c r="AF189" i="5"/>
  <c r="AH33" i="11"/>
  <c r="AF76" i="8"/>
  <c r="AF159" i="8" s="1"/>
  <c r="AF178" i="1"/>
  <c r="V106" i="8"/>
  <c r="V107" i="8"/>
  <c r="V105" i="8"/>
  <c r="AH60" i="8"/>
  <c r="T182" i="8"/>
  <c r="T103" i="8"/>
  <c r="T267" i="5"/>
  <c r="R45" i="13"/>
  <c r="R50" i="13"/>
  <c r="R97" i="13"/>
  <c r="R74" i="13"/>
  <c r="R23" i="13"/>
  <c r="R96" i="13"/>
  <c r="R66" i="13"/>
  <c r="R95" i="13"/>
  <c r="R100" i="13"/>
  <c r="R15" i="13"/>
  <c r="R47" i="13"/>
  <c r="R19" i="13"/>
  <c r="R43" i="13"/>
  <c r="R99" i="13"/>
  <c r="R67" i="13"/>
  <c r="R25" i="13"/>
  <c r="R46" i="13"/>
  <c r="R48" i="13"/>
  <c r="R71" i="13"/>
  <c r="R92" i="13"/>
  <c r="R40" i="13"/>
  <c r="R22" i="13"/>
  <c r="R68" i="13"/>
  <c r="R93" i="13"/>
  <c r="R18" i="13"/>
  <c r="R70" i="13"/>
  <c r="R65" i="13"/>
  <c r="R21" i="13"/>
  <c r="R73" i="13"/>
  <c r="R17" i="13"/>
  <c r="R90" i="13"/>
  <c r="R94" i="13"/>
  <c r="R49" i="13"/>
  <c r="R44" i="13"/>
  <c r="R69" i="13"/>
  <c r="R24" i="13"/>
  <c r="R20" i="13"/>
  <c r="R42" i="13"/>
  <c r="R98" i="13"/>
  <c r="R75" i="13"/>
  <c r="R72" i="13"/>
  <c r="R91" i="13"/>
  <c r="R16" i="13"/>
  <c r="R41" i="13"/>
  <c r="AH90" i="5"/>
  <c r="AH91" i="5" s="1"/>
  <c r="AH92" i="5" s="1"/>
  <c r="AH299" i="5" s="1"/>
  <c r="AG299" i="5"/>
  <c r="AE190" i="1"/>
  <c r="AE83" i="8"/>
  <c r="AG179" i="1"/>
  <c r="AH77" i="8" s="1"/>
  <c r="AG77" i="8"/>
  <c r="AE16" i="8"/>
  <c r="AE163" i="1"/>
  <c r="AF46" i="2"/>
  <c r="AG36" i="2"/>
  <c r="AF153" i="1"/>
  <c r="AF11" i="8"/>
  <c r="AD9" i="11"/>
  <c r="AD7" i="12"/>
  <c r="AD10" i="12" s="1"/>
  <c r="T269" i="5"/>
  <c r="T184" i="8"/>
  <c r="AF13" i="8"/>
  <c r="AF155" i="1"/>
  <c r="AG38" i="2"/>
  <c r="Q11" i="12"/>
  <c r="Q13" i="12" s="1"/>
  <c r="Q21" i="12" s="1"/>
  <c r="Q31" i="9"/>
  <c r="Q35" i="9" s="1"/>
  <c r="AD166" i="8"/>
  <c r="AD282" i="5"/>
  <c r="AE158" i="8"/>
  <c r="Q78" i="15"/>
  <c r="Q71" i="15"/>
  <c r="Q63" i="15"/>
  <c r="Q56" i="15"/>
  <c r="Q48" i="15"/>
  <c r="Q41" i="15"/>
  <c r="Q73" i="15"/>
  <c r="Q34" i="15"/>
  <c r="Q27" i="15"/>
  <c r="Q19" i="15"/>
  <c r="Q12" i="15"/>
  <c r="Q16" i="15"/>
  <c r="Q74" i="15"/>
  <c r="Q75" i="15"/>
  <c r="Q68" i="15"/>
  <c r="Q72" i="15"/>
  <c r="Q64" i="15"/>
  <c r="Q57" i="15"/>
  <c r="Q49" i="15"/>
  <c r="Q42" i="15"/>
  <c r="Q60" i="15"/>
  <c r="Q35" i="15"/>
  <c r="Q28" i="15"/>
  <c r="Q20" i="15"/>
  <c r="Q13" i="15"/>
  <c r="Q32" i="15"/>
  <c r="Q59" i="15"/>
  <c r="Q77" i="15"/>
  <c r="Q62" i="15"/>
  <c r="Q47" i="15"/>
  <c r="Q44" i="15"/>
  <c r="Q26" i="15"/>
  <c r="Q22" i="15"/>
  <c r="Q18" i="15"/>
  <c r="Q70" i="15"/>
  <c r="Q40" i="15"/>
  <c r="Q30" i="15"/>
  <c r="Q31" i="15"/>
  <c r="Q69" i="15"/>
  <c r="Q54" i="15"/>
  <c r="Q50" i="15"/>
  <c r="Q46" i="15"/>
  <c r="Q29" i="15"/>
  <c r="Q14" i="15"/>
  <c r="Q45" i="15"/>
  <c r="Q55" i="15"/>
  <c r="Q33" i="15"/>
  <c r="Q15" i="15"/>
  <c r="Q76" i="15"/>
  <c r="Q36" i="15"/>
  <c r="Q17" i="15"/>
  <c r="Q61" i="15"/>
  <c r="Q21" i="15"/>
  <c r="Q58" i="15"/>
  <c r="Q43" i="15"/>
  <c r="AD162" i="8"/>
  <c r="AA81" i="8"/>
  <c r="AA188" i="1"/>
  <c r="AE80" i="8"/>
  <c r="AE163" i="8" s="1"/>
  <c r="AE187" i="1"/>
  <c r="AC42" i="8"/>
  <c r="AC43" i="8"/>
  <c r="AC41" i="8"/>
  <c r="AC44" i="8" s="1"/>
  <c r="AE19" i="8"/>
  <c r="AE166" i="1"/>
  <c r="AF49" i="2"/>
  <c r="AH95" i="8"/>
  <c r="AF48" i="2"/>
  <c r="AE165" i="1"/>
  <c r="AE18" i="8"/>
  <c r="AE164" i="1"/>
  <c r="AF47" i="2"/>
  <c r="AE17" i="8"/>
  <c r="AG116" i="8"/>
  <c r="AG38" i="5"/>
  <c r="AG39" i="5" s="1"/>
  <c r="AH37" i="5" s="1"/>
  <c r="AH54" i="8"/>
  <c r="T189" i="8"/>
  <c r="T274" i="5"/>
  <c r="AH11" i="11"/>
  <c r="AG36" i="11"/>
  <c r="AG94" i="5"/>
  <c r="X21" i="11"/>
  <c r="X23" i="11" s="1"/>
  <c r="X25" i="11" s="1"/>
  <c r="X28" i="11" s="1"/>
  <c r="X14" i="11"/>
  <c r="AF142" i="8"/>
  <c r="AG139" i="8"/>
  <c r="AD20" i="8"/>
  <c r="AD32" i="8" s="1"/>
  <c r="AE189" i="1"/>
  <c r="AE82" i="8"/>
  <c r="S185" i="8"/>
  <c r="S191" i="8" s="1"/>
  <c r="S238" i="5" l="1"/>
  <c r="S240" i="5" s="1"/>
  <c r="S188" i="5"/>
  <c r="S190" i="5" s="1"/>
  <c r="S194" i="5" s="1"/>
  <c r="S192" i="8"/>
  <c r="S32" i="9"/>
  <c r="R77" i="15"/>
  <c r="R70" i="15"/>
  <c r="R62" i="15"/>
  <c r="R55" i="15"/>
  <c r="R47" i="15"/>
  <c r="R40" i="15"/>
  <c r="R31" i="15"/>
  <c r="R33" i="15"/>
  <c r="R26" i="15"/>
  <c r="R30" i="15"/>
  <c r="R22" i="15"/>
  <c r="R15" i="15"/>
  <c r="R41" i="15"/>
  <c r="R18" i="15"/>
  <c r="R78" i="15"/>
  <c r="R71" i="15"/>
  <c r="R63" i="15"/>
  <c r="R56" i="15"/>
  <c r="R48" i="15"/>
  <c r="R74" i="15"/>
  <c r="R73" i="15"/>
  <c r="R34" i="15"/>
  <c r="R27" i="15"/>
  <c r="R19" i="15"/>
  <c r="R12" i="15"/>
  <c r="R16" i="15"/>
  <c r="R42" i="15"/>
  <c r="R76" i="15"/>
  <c r="R61" i="15"/>
  <c r="R58" i="15"/>
  <c r="R45" i="15"/>
  <c r="R36" i="15"/>
  <c r="R21" i="15"/>
  <c r="R17" i="15"/>
  <c r="R54" i="15"/>
  <c r="R46" i="15"/>
  <c r="R14" i="15"/>
  <c r="R68" i="15"/>
  <c r="R64" i="15"/>
  <c r="R49" i="15"/>
  <c r="R60" i="15"/>
  <c r="R28" i="15"/>
  <c r="R13" i="15"/>
  <c r="R43" i="15"/>
  <c r="R69" i="15"/>
  <c r="R50" i="15"/>
  <c r="R29" i="15"/>
  <c r="R44" i="15"/>
  <c r="R59" i="15"/>
  <c r="R20" i="15"/>
  <c r="R32" i="15"/>
  <c r="R75" i="15"/>
  <c r="R35" i="15"/>
  <c r="R72" i="15"/>
  <c r="R57" i="15"/>
  <c r="AF16" i="8"/>
  <c r="AF163" i="1"/>
  <c r="AG46" i="2"/>
  <c r="AG178" i="1"/>
  <c r="AH76" i="8" s="1"/>
  <c r="AG76" i="8"/>
  <c r="Y18" i="12"/>
  <c r="Y20" i="12" s="1"/>
  <c r="Y241" i="5"/>
  <c r="Y191" i="5"/>
  <c r="Y193" i="5" s="1"/>
  <c r="AE38" i="8"/>
  <c r="AE37" i="8"/>
  <c r="AE36" i="8"/>
  <c r="AE39" i="8" s="1"/>
  <c r="AG9" i="8"/>
  <c r="AG151" i="1"/>
  <c r="AH34" i="2"/>
  <c r="AD45" i="8"/>
  <c r="AD46" i="8" s="1"/>
  <c r="W106" i="8"/>
  <c r="W107" i="8"/>
  <c r="W105" i="8"/>
  <c r="AE165" i="8"/>
  <c r="AE281" i="5"/>
  <c r="AH36" i="11"/>
  <c r="AB81" i="8"/>
  <c r="AB188" i="1"/>
  <c r="AH36" i="2"/>
  <c r="AG153" i="1"/>
  <c r="AG11" i="8"/>
  <c r="AE166" i="8"/>
  <c r="AE282" i="5"/>
  <c r="R289" i="5"/>
  <c r="R11" i="9" s="1"/>
  <c r="R33" i="9"/>
  <c r="R79" i="5"/>
  <c r="R80" i="5" s="1"/>
  <c r="AH72" i="5"/>
  <c r="B13" i="14"/>
  <c r="AC45" i="8"/>
  <c r="AC46" i="8" s="1"/>
  <c r="U187" i="8"/>
  <c r="U108" i="8"/>
  <c r="U272" i="5"/>
  <c r="AF279" i="5"/>
  <c r="AF157" i="8"/>
  <c r="AH38" i="5"/>
  <c r="AH116" i="8"/>
  <c r="AF18" i="8"/>
  <c r="AF165" i="1"/>
  <c r="AG48" i="2"/>
  <c r="AA280" i="5"/>
  <c r="AA277" i="5" s="1"/>
  <c r="AA276" i="5" s="1"/>
  <c r="AA164" i="8"/>
  <c r="AA84" i="8"/>
  <c r="AA133" i="8"/>
  <c r="AA148" i="8" s="1"/>
  <c r="AA12" i="11" s="1"/>
  <c r="AG152" i="1"/>
  <c r="AH35" i="2"/>
  <c r="AG10" i="8"/>
  <c r="X15" i="11"/>
  <c r="X20" i="11"/>
  <c r="X22" i="11" s="1"/>
  <c r="X24" i="11" s="1"/>
  <c r="X27" i="11" s="1"/>
  <c r="AF80" i="8"/>
  <c r="AF163" i="8" s="1"/>
  <c r="AF187" i="1"/>
  <c r="AD10" i="11"/>
  <c r="T185" i="8"/>
  <c r="T191" i="8" s="1"/>
  <c r="V108" i="8"/>
  <c r="V187" i="8"/>
  <c r="V272" i="5"/>
  <c r="AH12" i="12"/>
  <c r="AH239" i="5"/>
  <c r="AH189" i="5"/>
  <c r="S175" i="5"/>
  <c r="S302" i="5"/>
  <c r="S211" i="5" s="1"/>
  <c r="S110" i="8"/>
  <c r="S207" i="5" s="1"/>
  <c r="S10" i="9"/>
  <c r="AE279" i="5"/>
  <c r="AE162" i="8"/>
  <c r="AE9" i="11"/>
  <c r="AE7" i="12"/>
  <c r="AE10" i="12" s="1"/>
  <c r="AG45" i="2"/>
  <c r="AF162" i="1"/>
  <c r="AF15" i="8"/>
  <c r="AF67" i="8" s="1"/>
  <c r="V101" i="8"/>
  <c r="V100" i="8"/>
  <c r="V102" i="8"/>
  <c r="T109" i="8"/>
  <c r="Z167" i="8"/>
  <c r="Z178" i="8" s="1"/>
  <c r="Z96" i="8"/>
  <c r="Z177" i="5" s="1"/>
  <c r="Z181" i="5" s="1"/>
  <c r="R11" i="12"/>
  <c r="R13" i="12" s="1"/>
  <c r="R21" i="12" s="1"/>
  <c r="R31" i="9"/>
  <c r="R35" i="9" s="1"/>
  <c r="U188" i="8"/>
  <c r="U273" i="5"/>
  <c r="U268" i="5"/>
  <c r="U183" i="8"/>
  <c r="X149" i="8"/>
  <c r="X37" i="11"/>
  <c r="X38" i="11" s="1"/>
  <c r="AG47" i="2"/>
  <c r="AF164" i="1"/>
  <c r="AF17" i="8"/>
  <c r="V274" i="5"/>
  <c r="V189" i="8"/>
  <c r="AE42" i="8"/>
  <c r="AE43" i="8"/>
  <c r="AE41" i="8"/>
  <c r="AG12" i="8"/>
  <c r="AH37" i="2"/>
  <c r="AG154" i="1"/>
  <c r="AH139" i="8"/>
  <c r="AG142" i="8"/>
  <c r="V273" i="5"/>
  <c r="V188" i="8"/>
  <c r="AE20" i="8"/>
  <c r="AE32" i="8" s="1"/>
  <c r="AG73" i="8"/>
  <c r="AG175" i="1"/>
  <c r="AH73" i="8" s="1"/>
  <c r="S20" i="13"/>
  <c r="S69" i="13"/>
  <c r="S72" i="13"/>
  <c r="S22" i="13"/>
  <c r="S96" i="13"/>
  <c r="S50" i="13"/>
  <c r="S97" i="13"/>
  <c r="S74" i="13"/>
  <c r="S23" i="13"/>
  <c r="S46" i="13"/>
  <c r="S41" i="13"/>
  <c r="S70" i="13"/>
  <c r="S98" i="13"/>
  <c r="S65" i="13"/>
  <c r="S24" i="13"/>
  <c r="S19" i="13"/>
  <c r="S43" i="13"/>
  <c r="S99" i="13"/>
  <c r="S67" i="13"/>
  <c r="S25" i="13"/>
  <c r="S44" i="13"/>
  <c r="S48" i="13"/>
  <c r="S71" i="13"/>
  <c r="S40" i="13"/>
  <c r="S68" i="13"/>
  <c r="S93" i="13"/>
  <c r="S18" i="13"/>
  <c r="S92" i="13"/>
  <c r="S21" i="13"/>
  <c r="S66" i="13"/>
  <c r="S45" i="13"/>
  <c r="S100" i="13"/>
  <c r="S15" i="13"/>
  <c r="S94" i="13"/>
  <c r="S49" i="13"/>
  <c r="S73" i="13"/>
  <c r="S90" i="13"/>
  <c r="S17" i="13"/>
  <c r="S42" i="13"/>
  <c r="S95" i="13"/>
  <c r="S16" i="13"/>
  <c r="S47" i="13"/>
  <c r="S75" i="13"/>
  <c r="S91" i="13"/>
  <c r="AG75" i="8"/>
  <c r="AG158" i="8" s="1"/>
  <c r="AG177" i="1"/>
  <c r="AH75" i="8" s="1"/>
  <c r="U182" i="8"/>
  <c r="U103" i="8"/>
  <c r="U267" i="5"/>
  <c r="AF189" i="1"/>
  <c r="AF82" i="8"/>
  <c r="AF19" i="8"/>
  <c r="AF166" i="1"/>
  <c r="AG49" i="2"/>
  <c r="AH38" i="2"/>
  <c r="AG155" i="1"/>
  <c r="AG13" i="8"/>
  <c r="AG160" i="8" s="1"/>
  <c r="AF83" i="8"/>
  <c r="AF190" i="1"/>
  <c r="W34" i="11"/>
  <c r="W35" i="11" s="1"/>
  <c r="W39" i="11" s="1"/>
  <c r="W40" i="11" s="1"/>
  <c r="W130" i="8"/>
  <c r="AF79" i="8"/>
  <c r="AF186" i="1"/>
  <c r="Y14" i="11"/>
  <c r="AF64" i="8"/>
  <c r="AF114" i="8"/>
  <c r="AF129" i="8" s="1"/>
  <c r="AF278" i="5"/>
  <c r="AF156" i="8"/>
  <c r="Z13" i="11"/>
  <c r="AD44" i="8"/>
  <c r="AF158" i="8"/>
  <c r="U189" i="8"/>
  <c r="U274" i="5"/>
  <c r="U269" i="5"/>
  <c r="U184" i="8"/>
  <c r="AG74" i="8"/>
  <c r="AG176" i="1"/>
  <c r="AH74" i="8" s="1"/>
  <c r="AF38" i="8" l="1"/>
  <c r="AF37" i="8"/>
  <c r="AF36" i="8"/>
  <c r="AG79" i="8"/>
  <c r="AG186" i="1"/>
  <c r="AH79" i="8" s="1"/>
  <c r="AG19" i="8"/>
  <c r="AG166" i="1"/>
  <c r="AH49" i="2"/>
  <c r="AG17" i="8"/>
  <c r="AG164" i="1"/>
  <c r="AH47" i="2"/>
  <c r="T10" i="9"/>
  <c r="T302" i="5"/>
  <c r="T211" i="5" s="1"/>
  <c r="T110" i="8"/>
  <c r="T207" i="5" s="1"/>
  <c r="T175" i="5"/>
  <c r="AH159" i="8"/>
  <c r="AH142" i="8"/>
  <c r="V184" i="8"/>
  <c r="V269" i="5"/>
  <c r="AE45" i="8"/>
  <c r="AE46" i="8" s="1"/>
  <c r="T46" i="13"/>
  <c r="T48" i="13"/>
  <c r="T71" i="13"/>
  <c r="T92" i="13"/>
  <c r="T40" i="13"/>
  <c r="T17" i="13"/>
  <c r="T50" i="13"/>
  <c r="T21" i="13"/>
  <c r="T93" i="13"/>
  <c r="T42" i="13"/>
  <c r="T23" i="13"/>
  <c r="T70" i="13"/>
  <c r="T44" i="13"/>
  <c r="T41" i="13"/>
  <c r="T69" i="13"/>
  <c r="T72" i="13"/>
  <c r="T22" i="13"/>
  <c r="T19" i="13"/>
  <c r="T43" i="13"/>
  <c r="T97" i="13"/>
  <c r="T74" i="13"/>
  <c r="T25" i="13"/>
  <c r="T66" i="13"/>
  <c r="T100" i="13"/>
  <c r="T15" i="13"/>
  <c r="T94" i="13"/>
  <c r="T16" i="13"/>
  <c r="T95" i="13"/>
  <c r="T68" i="13"/>
  <c r="T45" i="13"/>
  <c r="T90" i="13"/>
  <c r="T65" i="13"/>
  <c r="T75" i="13"/>
  <c r="T99" i="13"/>
  <c r="T18" i="13"/>
  <c r="T96" i="13"/>
  <c r="T47" i="13"/>
  <c r="T91" i="13"/>
  <c r="T49" i="13"/>
  <c r="T24" i="13"/>
  <c r="T73" i="13"/>
  <c r="T20" i="13"/>
  <c r="T67" i="13"/>
  <c r="T98" i="13"/>
  <c r="Z21" i="11"/>
  <c r="Z23" i="11" s="1"/>
  <c r="Z25" i="11" s="1"/>
  <c r="Z28" i="11" s="1"/>
  <c r="Z14" i="11"/>
  <c r="Y15" i="11"/>
  <c r="Y20" i="11"/>
  <c r="Y22" i="11" s="1"/>
  <c r="Y24" i="11" s="1"/>
  <c r="Y27" i="11" s="1"/>
  <c r="W100" i="8"/>
  <c r="W101" i="8"/>
  <c r="W102" i="8"/>
  <c r="AF165" i="8"/>
  <c r="AF281" i="5"/>
  <c r="AH156" i="8"/>
  <c r="AH114" i="8"/>
  <c r="AH129" i="8" s="1"/>
  <c r="AE44" i="8"/>
  <c r="V103" i="8"/>
  <c r="V109" i="8" s="1"/>
  <c r="V182" i="8"/>
  <c r="V267" i="5"/>
  <c r="AA13" i="11"/>
  <c r="B12" i="14"/>
  <c r="AH39" i="5"/>
  <c r="U109" i="8"/>
  <c r="S78" i="5"/>
  <c r="R297" i="5"/>
  <c r="R296" i="5" s="1"/>
  <c r="W189" i="8"/>
  <c r="W274" i="5"/>
  <c r="AG279" i="5"/>
  <c r="AG157" i="8"/>
  <c r="AF9" i="11"/>
  <c r="AF7" i="12"/>
  <c r="AF10" i="12" s="1"/>
  <c r="Y21" i="11"/>
  <c r="Y23" i="11" s="1"/>
  <c r="Y25" i="11" s="1"/>
  <c r="Y28" i="11" s="1"/>
  <c r="AF166" i="8"/>
  <c r="AF282" i="5"/>
  <c r="AG82" i="8"/>
  <c r="AG189" i="1"/>
  <c r="AH82" i="8" s="1"/>
  <c r="AG278" i="5"/>
  <c r="AG114" i="8"/>
  <c r="AG129" i="8" s="1"/>
  <c r="AG156" i="8"/>
  <c r="X106" i="8"/>
  <c r="X107" i="8"/>
  <c r="X105" i="8"/>
  <c r="Z18" i="12"/>
  <c r="Z20" i="12" s="1"/>
  <c r="Z191" i="5"/>
  <c r="Z193" i="5" s="1"/>
  <c r="Z241" i="5"/>
  <c r="V268" i="5"/>
  <c r="V183" i="8"/>
  <c r="T188" i="5"/>
  <c r="T190" i="5" s="1"/>
  <c r="T194" i="5" s="1"/>
  <c r="T192" i="8"/>
  <c r="T238" i="5"/>
  <c r="T240" i="5" s="1"/>
  <c r="T32" i="9"/>
  <c r="X130" i="8"/>
  <c r="X34" i="11"/>
  <c r="X35" i="11" s="1"/>
  <c r="X39" i="11" s="1"/>
  <c r="X40" i="11" s="1"/>
  <c r="AH10" i="8"/>
  <c r="AI35" i="2"/>
  <c r="AA96" i="8"/>
  <c r="AA177" i="5" s="1"/>
  <c r="AA181" i="5" s="1"/>
  <c r="AA167" i="8"/>
  <c r="AA178" i="8" s="1"/>
  <c r="AG18" i="8"/>
  <c r="AG165" i="1"/>
  <c r="AH48" i="2"/>
  <c r="U190" i="8"/>
  <c r="AC81" i="8"/>
  <c r="AC188" i="1"/>
  <c r="W188" i="8"/>
  <c r="W273" i="5"/>
  <c r="AG64" i="8"/>
  <c r="AG159" i="8"/>
  <c r="AF42" i="8"/>
  <c r="AF43" i="8"/>
  <c r="AF41" i="8"/>
  <c r="AF44" i="8" s="1"/>
  <c r="AE10" i="11"/>
  <c r="AB280" i="5"/>
  <c r="AB277" i="5" s="1"/>
  <c r="AB276" i="5" s="1"/>
  <c r="AB164" i="8"/>
  <c r="AB84" i="8"/>
  <c r="AB133" i="8"/>
  <c r="AB148" i="8" s="1"/>
  <c r="AB12" i="11" s="1"/>
  <c r="S11" i="12"/>
  <c r="S13" i="12" s="1"/>
  <c r="S21" i="12" s="1"/>
  <c r="AF20" i="8"/>
  <c r="AF32" i="8" s="1"/>
  <c r="AF162" i="8"/>
  <c r="AI38" i="2"/>
  <c r="AH13" i="8"/>
  <c r="AH160" i="8" s="1"/>
  <c r="S74" i="15"/>
  <c r="S41" i="15"/>
  <c r="S18" i="15"/>
  <c r="S78" i="15"/>
  <c r="S71" i="15"/>
  <c r="S63" i="15"/>
  <c r="S56" i="15"/>
  <c r="S48" i="15"/>
  <c r="S31" i="15"/>
  <c r="S33" i="15"/>
  <c r="S26" i="15"/>
  <c r="S30" i="15"/>
  <c r="S22" i="15"/>
  <c r="S15" i="15"/>
  <c r="S59" i="15"/>
  <c r="S42" i="15"/>
  <c r="S75" i="15"/>
  <c r="S68" i="15"/>
  <c r="S72" i="15"/>
  <c r="S64" i="15"/>
  <c r="S57" i="15"/>
  <c r="S49" i="15"/>
  <c r="S73" i="15"/>
  <c r="S34" i="15"/>
  <c r="S27" i="15"/>
  <c r="S19" i="15"/>
  <c r="S12" i="15"/>
  <c r="S16" i="15"/>
  <c r="S32" i="15"/>
  <c r="S77" i="15"/>
  <c r="S62" i="15"/>
  <c r="S47" i="15"/>
  <c r="S46" i="15"/>
  <c r="S29" i="15"/>
  <c r="S14" i="15"/>
  <c r="S44" i="15"/>
  <c r="S55" i="15"/>
  <c r="S36" i="15"/>
  <c r="S43" i="15"/>
  <c r="S69" i="15"/>
  <c r="S54" i="15"/>
  <c r="S50" i="15"/>
  <c r="S35" i="15"/>
  <c r="S20" i="15"/>
  <c r="S17" i="15"/>
  <c r="S70" i="15"/>
  <c r="S40" i="15"/>
  <c r="S21" i="15"/>
  <c r="S61" i="15"/>
  <c r="S13" i="15"/>
  <c r="S28" i="15"/>
  <c r="S58" i="15"/>
  <c r="S45" i="15"/>
  <c r="S60" i="15"/>
  <c r="S76" i="15"/>
  <c r="AG162" i="1"/>
  <c r="AH45" i="2"/>
  <c r="AG15" i="8"/>
  <c r="V190" i="8"/>
  <c r="AG80" i="8"/>
  <c r="AG187" i="1"/>
  <c r="AH80" i="8" s="1"/>
  <c r="AH279" i="5" s="1"/>
  <c r="AH11" i="8"/>
  <c r="AH158" i="8" s="1"/>
  <c r="AI36" i="2"/>
  <c r="W108" i="8"/>
  <c r="W187" i="8"/>
  <c r="W272" i="5"/>
  <c r="AH157" i="8"/>
  <c r="AG83" i="8"/>
  <c r="AG190" i="1"/>
  <c r="AH83" i="8" s="1"/>
  <c r="U185" i="8"/>
  <c r="U191" i="8" s="1"/>
  <c r="AH12" i="8"/>
  <c r="AI37" i="2"/>
  <c r="AI34" i="2"/>
  <c r="AH9" i="8"/>
  <c r="AG16" i="8"/>
  <c r="AH46" i="2"/>
  <c r="AG163" i="1"/>
  <c r="V110" i="8" l="1"/>
  <c r="V207" i="5" s="1"/>
  <c r="V10" i="9"/>
  <c r="V175" i="5"/>
  <c r="AH16" i="8"/>
  <c r="AI46" i="2"/>
  <c r="U21" i="13"/>
  <c r="U93" i="13"/>
  <c r="U42" i="13"/>
  <c r="U18" i="13"/>
  <c r="U73" i="13"/>
  <c r="U90" i="13"/>
  <c r="U98" i="13"/>
  <c r="U65" i="13"/>
  <c r="U24" i="13"/>
  <c r="U19" i="13"/>
  <c r="U50" i="13"/>
  <c r="U70" i="13"/>
  <c r="U97" i="13"/>
  <c r="U74" i="13"/>
  <c r="U23" i="13"/>
  <c r="U45" i="13"/>
  <c r="U66" i="13"/>
  <c r="U95" i="13"/>
  <c r="U100" i="13"/>
  <c r="U47" i="13"/>
  <c r="U15" i="13"/>
  <c r="U75" i="13"/>
  <c r="U91" i="13"/>
  <c r="U16" i="13"/>
  <c r="U41" i="13"/>
  <c r="U72" i="13"/>
  <c r="U96" i="13"/>
  <c r="U94" i="13"/>
  <c r="U44" i="13"/>
  <c r="U43" i="13"/>
  <c r="U20" i="13"/>
  <c r="U67" i="13"/>
  <c r="U46" i="13"/>
  <c r="U71" i="13"/>
  <c r="U40" i="13"/>
  <c r="U68" i="13"/>
  <c r="U49" i="13"/>
  <c r="U69" i="13"/>
  <c r="U22" i="13"/>
  <c r="U48" i="13"/>
  <c r="U92" i="13"/>
  <c r="U99" i="13"/>
  <c r="U17" i="13"/>
  <c r="U25" i="13"/>
  <c r="W267" i="5"/>
  <c r="W103" i="8"/>
  <c r="W182" i="8"/>
  <c r="AI47" i="2"/>
  <c r="AH17" i="8"/>
  <c r="AG67" i="8"/>
  <c r="T60" i="15"/>
  <c r="T59" i="15"/>
  <c r="T42" i="15"/>
  <c r="T75" i="15"/>
  <c r="T68" i="15"/>
  <c r="T72" i="15"/>
  <c r="T64" i="15"/>
  <c r="T57" i="15"/>
  <c r="T49" i="15"/>
  <c r="T33" i="15"/>
  <c r="T26" i="15"/>
  <c r="T30" i="15"/>
  <c r="T22" i="15"/>
  <c r="T15" i="15"/>
  <c r="T46" i="15"/>
  <c r="T45" i="15"/>
  <c r="T43" i="15"/>
  <c r="T76" i="15"/>
  <c r="T69" i="15"/>
  <c r="T61" i="15"/>
  <c r="T54" i="15"/>
  <c r="T58" i="15"/>
  <c r="T50" i="15"/>
  <c r="T34" i="15"/>
  <c r="T27" i="15"/>
  <c r="T19" i="15"/>
  <c r="T12" i="15"/>
  <c r="T16" i="15"/>
  <c r="T73" i="15"/>
  <c r="T41" i="15"/>
  <c r="T78" i="15"/>
  <c r="T63" i="15"/>
  <c r="T48" i="15"/>
  <c r="T36" i="15"/>
  <c r="T21" i="15"/>
  <c r="T18" i="15"/>
  <c r="T56" i="15"/>
  <c r="T29" i="15"/>
  <c r="T31" i="15"/>
  <c r="T44" i="15"/>
  <c r="T70" i="15"/>
  <c r="T55" i="15"/>
  <c r="T40" i="15"/>
  <c r="T28" i="15"/>
  <c r="T13" i="15"/>
  <c r="T74" i="15"/>
  <c r="T71" i="15"/>
  <c r="T32" i="15"/>
  <c r="T14" i="15"/>
  <c r="T77" i="15"/>
  <c r="T20" i="15"/>
  <c r="T17" i="15"/>
  <c r="T62" i="15"/>
  <c r="T47" i="15"/>
  <c r="T35" i="15"/>
  <c r="AG38" i="8"/>
  <c r="AG37" i="8"/>
  <c r="AG36" i="8"/>
  <c r="AG39" i="8" s="1"/>
  <c r="AH18" i="8"/>
  <c r="AI48" i="2"/>
  <c r="AH7" i="12"/>
  <c r="AH10" i="12" s="1"/>
  <c r="AH9" i="11"/>
  <c r="U238" i="5"/>
  <c r="U240" i="5" s="1"/>
  <c r="U188" i="5"/>
  <c r="U190" i="5" s="1"/>
  <c r="U194" i="5" s="1"/>
  <c r="U192" i="8"/>
  <c r="U32" i="9"/>
  <c r="W190" i="8"/>
  <c r="AB13" i="11"/>
  <c r="AG20" i="8"/>
  <c r="AG32" i="8" s="1"/>
  <c r="X187" i="8"/>
  <c r="X190" i="8" s="1"/>
  <c r="X108" i="8"/>
  <c r="X272" i="5"/>
  <c r="Y37" i="11"/>
  <c r="Y38" i="11" s="1"/>
  <c r="Y149" i="8"/>
  <c r="S79" i="5"/>
  <c r="S80" i="5" s="1"/>
  <c r="S33" i="9"/>
  <c r="S31" i="9" s="1"/>
  <c r="S35" i="9" s="1"/>
  <c r="S289" i="5"/>
  <c r="S11" i="9" s="1"/>
  <c r="W184" i="8"/>
  <c r="W269" i="5"/>
  <c r="AH64" i="8"/>
  <c r="AH166" i="8"/>
  <c r="AH282" i="5"/>
  <c r="W109" i="8"/>
  <c r="AG163" i="8"/>
  <c r="AH15" i="8"/>
  <c r="AH67" i="8" s="1"/>
  <c r="AI45" i="2"/>
  <c r="AB96" i="8"/>
  <c r="AB177" i="5" s="1"/>
  <c r="AB181" i="5" s="1"/>
  <c r="AB167" i="8"/>
  <c r="AB178" i="8" s="1"/>
  <c r="AA191" i="5"/>
  <c r="AA193" i="5" s="1"/>
  <c r="AA241" i="5"/>
  <c r="AA18" i="12"/>
  <c r="AA20" i="12" s="1"/>
  <c r="T11" i="12"/>
  <c r="T13" i="12" s="1"/>
  <c r="T21" i="12" s="1"/>
  <c r="X189" i="8"/>
  <c r="X274" i="5"/>
  <c r="AG9" i="11"/>
  <c r="AG7" i="12"/>
  <c r="AG281" i="5"/>
  <c r="AG165" i="8"/>
  <c r="U10" i="9"/>
  <c r="U110" i="8"/>
  <c r="U207" i="5" s="1"/>
  <c r="U302" i="5"/>
  <c r="U211" i="5" s="1"/>
  <c r="U175" i="5"/>
  <c r="AH278" i="5"/>
  <c r="W183" i="8"/>
  <c r="W268" i="5"/>
  <c r="Z15" i="11"/>
  <c r="Z20" i="11"/>
  <c r="Z22" i="11" s="1"/>
  <c r="Z24" i="11" s="1"/>
  <c r="Z27" i="11" s="1"/>
  <c r="AI49" i="2"/>
  <c r="AH19" i="8"/>
  <c r="AF39" i="8"/>
  <c r="AF45" i="8" s="1"/>
  <c r="AF46" i="8" s="1"/>
  <c r="AG166" i="8"/>
  <c r="AG282" i="5"/>
  <c r="X101" i="8"/>
  <c r="X102" i="8"/>
  <c r="X100" i="8"/>
  <c r="X188" i="8"/>
  <c r="X273" i="5"/>
  <c r="AF10" i="11"/>
  <c r="Z37" i="11"/>
  <c r="Z38" i="11" s="1"/>
  <c r="Z149" i="8"/>
  <c r="AD188" i="1"/>
  <c r="AD81" i="8"/>
  <c r="V185" i="8"/>
  <c r="V191" i="8" s="1"/>
  <c r="Y130" i="8"/>
  <c r="Y34" i="11"/>
  <c r="Y35" i="11" s="1"/>
  <c r="Y39" i="11" s="1"/>
  <c r="Y40" i="11" s="1"/>
  <c r="AH163" i="8"/>
  <c r="AC164" i="8"/>
  <c r="AC280" i="5"/>
  <c r="AC277" i="5" s="1"/>
  <c r="AC276" i="5" s="1"/>
  <c r="AC84" i="8"/>
  <c r="AC133" i="8"/>
  <c r="AC148" i="8" s="1"/>
  <c r="AC12" i="11" s="1"/>
  <c r="AH165" i="8"/>
  <c r="AH281" i="5"/>
  <c r="AA14" i="11"/>
  <c r="AA21" i="11" s="1"/>
  <c r="AA23" i="11" s="1"/>
  <c r="AA25" i="11" s="1"/>
  <c r="AA28" i="11" s="1"/>
  <c r="AG162" i="8"/>
  <c r="AA37" i="11" l="1"/>
  <c r="AA38" i="11" s="1"/>
  <c r="AA149" i="8"/>
  <c r="X182" i="8"/>
  <c r="X267" i="5"/>
  <c r="X103" i="8"/>
  <c r="AG10" i="11"/>
  <c r="AH42" i="8"/>
  <c r="AH43" i="8"/>
  <c r="AH41" i="8"/>
  <c r="Y106" i="8"/>
  <c r="Y107" i="8"/>
  <c r="Y105" i="8"/>
  <c r="AB191" i="5"/>
  <c r="AB193" i="5" s="1"/>
  <c r="AB18" i="12"/>
  <c r="AB20" i="12" s="1"/>
  <c r="AB241" i="5"/>
  <c r="AH38" i="8"/>
  <c r="AH37" i="8"/>
  <c r="AH36" i="8"/>
  <c r="AH39" i="8" s="1"/>
  <c r="W185" i="8"/>
  <c r="W191" i="8" s="1"/>
  <c r="AC13" i="11"/>
  <c r="AD280" i="5"/>
  <c r="AD277" i="5" s="1"/>
  <c r="AD276" i="5" s="1"/>
  <c r="AD164" i="8"/>
  <c r="AD84" i="8"/>
  <c r="AD133" i="8"/>
  <c r="AD148" i="8" s="1"/>
  <c r="AD12" i="11" s="1"/>
  <c r="X268" i="5"/>
  <c r="X183" i="8"/>
  <c r="W10" i="9"/>
  <c r="W110" i="8"/>
  <c r="W207" i="5" s="1"/>
  <c r="W175" i="5"/>
  <c r="W302" i="5"/>
  <c r="W211" i="5" s="1"/>
  <c r="AH20" i="8"/>
  <c r="AH32" i="8" s="1"/>
  <c r="AG42" i="8"/>
  <c r="AG43" i="8"/>
  <c r="AG41" i="8"/>
  <c r="AC96" i="8"/>
  <c r="AC177" i="5" s="1"/>
  <c r="AC181" i="5" s="1"/>
  <c r="AC167" i="8"/>
  <c r="AC178" i="8" s="1"/>
  <c r="V188" i="5"/>
  <c r="V190" i="5" s="1"/>
  <c r="V194" i="5" s="1"/>
  <c r="V238" i="5"/>
  <c r="V240" i="5" s="1"/>
  <c r="V32" i="9"/>
  <c r="V192" i="8"/>
  <c r="AE81" i="8"/>
  <c r="AE188" i="1"/>
  <c r="AG10" i="12"/>
  <c r="B27" i="12"/>
  <c r="S297" i="5"/>
  <c r="S296" i="5" s="1"/>
  <c r="T78" i="5"/>
  <c r="X109" i="8"/>
  <c r="AB21" i="11"/>
  <c r="AB23" i="11" s="1"/>
  <c r="AB25" i="11" s="1"/>
  <c r="AB28" i="11" s="1"/>
  <c r="AB14" i="11"/>
  <c r="U11" i="12"/>
  <c r="U13" i="12" s="1"/>
  <c r="U21" i="12" s="1"/>
  <c r="AH162" i="8"/>
  <c r="Z130" i="8"/>
  <c r="Z34" i="11"/>
  <c r="Z35" i="11" s="1"/>
  <c r="Z39" i="11" s="1"/>
  <c r="Z40" i="11" s="1"/>
  <c r="U75" i="15"/>
  <c r="U68" i="15"/>
  <c r="U72" i="15"/>
  <c r="U64" i="15"/>
  <c r="U57" i="15"/>
  <c r="U49" i="15"/>
  <c r="U42" i="15"/>
  <c r="U60" i="15"/>
  <c r="U34" i="15"/>
  <c r="U27" i="15"/>
  <c r="U19" i="15"/>
  <c r="U12" i="15"/>
  <c r="U16" i="15"/>
  <c r="U17" i="15"/>
  <c r="U76" i="15"/>
  <c r="U69" i="15"/>
  <c r="U61" i="15"/>
  <c r="U54" i="15"/>
  <c r="U58" i="15"/>
  <c r="U50" i="15"/>
  <c r="U43" i="15"/>
  <c r="U46" i="15"/>
  <c r="U35" i="15"/>
  <c r="U28" i="15"/>
  <c r="U20" i="15"/>
  <c r="U13" i="15"/>
  <c r="U74" i="15"/>
  <c r="U31" i="15"/>
  <c r="U71" i="15"/>
  <c r="U56" i="15"/>
  <c r="U41" i="15"/>
  <c r="U33" i="15"/>
  <c r="U30" i="15"/>
  <c r="U15" i="15"/>
  <c r="U63" i="15"/>
  <c r="U73" i="15"/>
  <c r="U22" i="15"/>
  <c r="U77" i="15"/>
  <c r="U62" i="15"/>
  <c r="U47" i="15"/>
  <c r="U44" i="15"/>
  <c r="U36" i="15"/>
  <c r="U21" i="15"/>
  <c r="U59" i="15"/>
  <c r="U78" i="15"/>
  <c r="U48" i="15"/>
  <c r="U26" i="15"/>
  <c r="U45" i="15"/>
  <c r="U55" i="15"/>
  <c r="U14" i="15"/>
  <c r="U29" i="15"/>
  <c r="U40" i="15"/>
  <c r="U18" i="15"/>
  <c r="U32" i="15"/>
  <c r="U70" i="15"/>
  <c r="V90" i="13"/>
  <c r="V68" i="13"/>
  <c r="V94" i="13"/>
  <c r="V91" i="13"/>
  <c r="V49" i="13"/>
  <c r="V16" i="13"/>
  <c r="V46" i="13"/>
  <c r="V48" i="13"/>
  <c r="V69" i="13"/>
  <c r="V72" i="13"/>
  <c r="V47" i="13"/>
  <c r="V20" i="13"/>
  <c r="V50" i="13"/>
  <c r="V21" i="13"/>
  <c r="V93" i="13"/>
  <c r="V42" i="13"/>
  <c r="V18" i="13"/>
  <c r="V44" i="13"/>
  <c r="V41" i="13"/>
  <c r="V98" i="13"/>
  <c r="V65" i="13"/>
  <c r="V22" i="13"/>
  <c r="V75" i="13"/>
  <c r="V99" i="13"/>
  <c r="V25" i="13"/>
  <c r="V66" i="13"/>
  <c r="V92" i="13"/>
  <c r="V24" i="13"/>
  <c r="V67" i="13"/>
  <c r="V71" i="13"/>
  <c r="V43" i="13"/>
  <c r="V74" i="13"/>
  <c r="V45" i="13"/>
  <c r="V95" i="13"/>
  <c r="V17" i="13"/>
  <c r="V70" i="13"/>
  <c r="V96" i="13"/>
  <c r="V15" i="13"/>
  <c r="V19" i="13"/>
  <c r="V100" i="13"/>
  <c r="V73" i="13"/>
  <c r="V97" i="13"/>
  <c r="V40" i="13"/>
  <c r="V23" i="13"/>
  <c r="AH10" i="11"/>
  <c r="Z106" i="8"/>
  <c r="Z107" i="8"/>
  <c r="Z105" i="8"/>
  <c r="X269" i="5"/>
  <c r="X184" i="8"/>
  <c r="AA15" i="11"/>
  <c r="AA20" i="11"/>
  <c r="AA22" i="11" s="1"/>
  <c r="AA24" i="11" s="1"/>
  <c r="AA27" i="11" s="1"/>
  <c r="Y101" i="8"/>
  <c r="Y100" i="8"/>
  <c r="Y102" i="8"/>
  <c r="V302" i="5"/>
  <c r="V211" i="5" s="1"/>
  <c r="AA34" i="11" l="1"/>
  <c r="AA35" i="11" s="1"/>
  <c r="AA39" i="11" s="1"/>
  <c r="AA40" i="11" s="1"/>
  <c r="AA130" i="8"/>
  <c r="W90" i="13"/>
  <c r="W69" i="13"/>
  <c r="W72" i="13"/>
  <c r="W22" i="13"/>
  <c r="W96" i="13"/>
  <c r="W50" i="13"/>
  <c r="W21" i="13"/>
  <c r="W93" i="13"/>
  <c r="W42" i="13"/>
  <c r="W18" i="13"/>
  <c r="W66" i="13"/>
  <c r="W20" i="13"/>
  <c r="W98" i="13"/>
  <c r="W65" i="13"/>
  <c r="W24" i="13"/>
  <c r="W19" i="13"/>
  <c r="W43" i="13"/>
  <c r="W97" i="13"/>
  <c r="W74" i="13"/>
  <c r="W23" i="13"/>
  <c r="W46" i="13"/>
  <c r="W48" i="13"/>
  <c r="W71" i="13"/>
  <c r="W40" i="13"/>
  <c r="W68" i="13"/>
  <c r="W91" i="13"/>
  <c r="W16" i="13"/>
  <c r="W45" i="13"/>
  <c r="W17" i="13"/>
  <c r="W49" i="13"/>
  <c r="W100" i="13"/>
  <c r="W15" i="13"/>
  <c r="W70" i="13"/>
  <c r="W67" i="13"/>
  <c r="W44" i="13"/>
  <c r="W92" i="13"/>
  <c r="W94" i="13"/>
  <c r="W73" i="13"/>
  <c r="W75" i="13"/>
  <c r="W41" i="13"/>
  <c r="W99" i="13"/>
  <c r="W95" i="13"/>
  <c r="W25" i="13"/>
  <c r="W47" i="13"/>
  <c r="W188" i="5"/>
  <c r="W190" i="5" s="1"/>
  <c r="W194" i="5" s="1"/>
  <c r="W192" i="8"/>
  <c r="W238" i="5"/>
  <c r="W240" i="5" s="1"/>
  <c r="W32" i="9"/>
  <c r="Y272" i="5"/>
  <c r="Y187" i="8"/>
  <c r="Y108" i="8"/>
  <c r="Y269" i="5"/>
  <c r="Y184" i="8"/>
  <c r="Z187" i="8"/>
  <c r="Z272" i="5"/>
  <c r="Z108" i="8"/>
  <c r="X302" i="5"/>
  <c r="X211" i="5" s="1"/>
  <c r="X175" i="5"/>
  <c r="X110" i="8"/>
  <c r="X207" i="5" s="1"/>
  <c r="X10" i="9"/>
  <c r="AC241" i="5"/>
  <c r="AC18" i="12"/>
  <c r="AC20" i="12" s="1"/>
  <c r="AC191" i="5"/>
  <c r="AC193" i="5" s="1"/>
  <c r="AH45" i="8"/>
  <c r="AH46" i="8" s="1"/>
  <c r="Y189" i="8"/>
  <c r="Y274" i="5"/>
  <c r="Z189" i="8"/>
  <c r="Z274" i="5"/>
  <c r="Z102" i="8"/>
  <c r="Z100" i="8"/>
  <c r="Z101" i="8"/>
  <c r="V77" i="15"/>
  <c r="V70" i="15"/>
  <c r="V62" i="15"/>
  <c r="V55" i="15"/>
  <c r="V47" i="15"/>
  <c r="V40" i="15"/>
  <c r="V35" i="15"/>
  <c r="V28" i="15"/>
  <c r="V20" i="15"/>
  <c r="V13" i="15"/>
  <c r="V74" i="15"/>
  <c r="V42" i="15"/>
  <c r="V73" i="15"/>
  <c r="V18" i="15"/>
  <c r="V78" i="15"/>
  <c r="V71" i="15"/>
  <c r="V63" i="15"/>
  <c r="V56" i="15"/>
  <c r="V48" i="15"/>
  <c r="V32" i="15"/>
  <c r="V36" i="15"/>
  <c r="V29" i="15"/>
  <c r="V21" i="15"/>
  <c r="V14" i="15"/>
  <c r="V59" i="15"/>
  <c r="V43" i="15"/>
  <c r="V60" i="15"/>
  <c r="V76" i="15"/>
  <c r="V61" i="15"/>
  <c r="V58" i="15"/>
  <c r="V34" i="15"/>
  <c r="V19" i="15"/>
  <c r="V16" i="15"/>
  <c r="V17" i="15"/>
  <c r="V54" i="15"/>
  <c r="V27" i="15"/>
  <c r="V12" i="15"/>
  <c r="V31" i="15"/>
  <c r="V68" i="15"/>
  <c r="V64" i="15"/>
  <c r="V49" i="15"/>
  <c r="V26" i="15"/>
  <c r="V22" i="15"/>
  <c r="V45" i="15"/>
  <c r="V46" i="15"/>
  <c r="V69" i="15"/>
  <c r="V50" i="15"/>
  <c r="V41" i="15"/>
  <c r="V75" i="15"/>
  <c r="V30" i="15"/>
  <c r="V44" i="15"/>
  <c r="V72" i="15"/>
  <c r="V15" i="15"/>
  <c r="V57" i="15"/>
  <c r="V33" i="15"/>
  <c r="T33" i="9"/>
  <c r="T31" i="9" s="1"/>
  <c r="T35" i="9" s="1"/>
  <c r="T79" i="5"/>
  <c r="T80" i="5" s="1"/>
  <c r="T289" i="5"/>
  <c r="T11" i="9" s="1"/>
  <c r="AD13" i="11"/>
  <c r="AC21" i="11"/>
  <c r="AC23" i="11" s="1"/>
  <c r="AC25" i="11" s="1"/>
  <c r="AC28" i="11" s="1"/>
  <c r="AC14" i="11"/>
  <c r="Y188" i="8"/>
  <c r="Y273" i="5"/>
  <c r="AA106" i="8"/>
  <c r="AA107" i="8"/>
  <c r="AA105" i="8"/>
  <c r="AB149" i="8"/>
  <c r="AB37" i="11"/>
  <c r="AB38" i="11" s="1"/>
  <c r="AE164" i="8"/>
  <c r="AE280" i="5"/>
  <c r="AE277" i="5" s="1"/>
  <c r="AE276" i="5" s="1"/>
  <c r="AE133" i="8"/>
  <c r="AE148" i="8" s="1"/>
  <c r="AE12" i="11" s="1"/>
  <c r="AE84" i="8"/>
  <c r="V11" i="12"/>
  <c r="V13" i="12" s="1"/>
  <c r="V21" i="12" s="1"/>
  <c r="Y267" i="5"/>
  <c r="Y182" i="8"/>
  <c r="Y103" i="8"/>
  <c r="Y183" i="8"/>
  <c r="Y268" i="5"/>
  <c r="Z188" i="8"/>
  <c r="Z273" i="5"/>
  <c r="AB15" i="11"/>
  <c r="AB20" i="11"/>
  <c r="AB22" i="11" s="1"/>
  <c r="AB24" i="11" s="1"/>
  <c r="AB27" i="11" s="1"/>
  <c r="AF81" i="8"/>
  <c r="AF188" i="1"/>
  <c r="AG44" i="8"/>
  <c r="AG45" i="8" s="1"/>
  <c r="AG46" i="8" s="1"/>
  <c r="AD96" i="8"/>
  <c r="AD177" i="5" s="1"/>
  <c r="AD181" i="5" s="1"/>
  <c r="AD167" i="8"/>
  <c r="AD178" i="8" s="1"/>
  <c r="AH44" i="8"/>
  <c r="X185" i="8"/>
  <c r="X191" i="8" s="1"/>
  <c r="AF164" i="8" l="1"/>
  <c r="AF280" i="5"/>
  <c r="AF277" i="5" s="1"/>
  <c r="AF276" i="5" s="1"/>
  <c r="AF133" i="8"/>
  <c r="AF148" i="8" s="1"/>
  <c r="AF12" i="11" s="1"/>
  <c r="AF84" i="8"/>
  <c r="U78" i="5"/>
  <c r="T297" i="5"/>
  <c r="T296" i="5" s="1"/>
  <c r="X32" i="9"/>
  <c r="X238" i="5"/>
  <c r="X240" i="5" s="1"/>
  <c r="X192" i="8"/>
  <c r="X188" i="5"/>
  <c r="X190" i="5" s="1"/>
  <c r="X194" i="5" s="1"/>
  <c r="W45" i="15"/>
  <c r="W46" i="15"/>
  <c r="W34" i="15"/>
  <c r="W27" i="15"/>
  <c r="W19" i="15"/>
  <c r="W12" i="15"/>
  <c r="W16" i="15"/>
  <c r="W78" i="15"/>
  <c r="W71" i="15"/>
  <c r="W63" i="15"/>
  <c r="W56" i="15"/>
  <c r="W48" i="15"/>
  <c r="W41" i="15"/>
  <c r="W17" i="15"/>
  <c r="W32" i="15"/>
  <c r="W31" i="15"/>
  <c r="W35" i="15"/>
  <c r="W28" i="15"/>
  <c r="W20" i="15"/>
  <c r="W13" i="15"/>
  <c r="W75" i="15"/>
  <c r="W68" i="15"/>
  <c r="W72" i="15"/>
  <c r="W64" i="15"/>
  <c r="W57" i="15"/>
  <c r="W49" i="15"/>
  <c r="W42" i="15"/>
  <c r="W59" i="15"/>
  <c r="W33" i="15"/>
  <c r="W30" i="15"/>
  <c r="W15" i="15"/>
  <c r="W70" i="15"/>
  <c r="W55" i="15"/>
  <c r="W40" i="15"/>
  <c r="W26" i="15"/>
  <c r="W22" i="15"/>
  <c r="W62" i="15"/>
  <c r="W44" i="15"/>
  <c r="W73" i="15"/>
  <c r="W36" i="15"/>
  <c r="W21" i="15"/>
  <c r="W76" i="15"/>
  <c r="W61" i="15"/>
  <c r="W58" i="15"/>
  <c r="W43" i="15"/>
  <c r="W60" i="15"/>
  <c r="W77" i="15"/>
  <c r="W47" i="15"/>
  <c r="W18" i="15"/>
  <c r="W54" i="15"/>
  <c r="W14" i="15"/>
  <c r="W69" i="15"/>
  <c r="W29" i="15"/>
  <c r="W50" i="15"/>
  <c r="W74" i="15"/>
  <c r="Z183" i="8"/>
  <c r="Z268" i="5"/>
  <c r="Y185" i="8"/>
  <c r="Y191" i="8" s="1"/>
  <c r="AE13" i="11"/>
  <c r="AB106" i="8"/>
  <c r="AB107" i="8"/>
  <c r="AB105" i="8"/>
  <c r="Z267" i="5"/>
  <c r="Z103" i="8"/>
  <c r="Z182" i="8"/>
  <c r="Z185" i="8" s="1"/>
  <c r="Z190" i="8"/>
  <c r="Y190" i="8"/>
  <c r="W11" i="12"/>
  <c r="W13" i="12" s="1"/>
  <c r="W21" i="12" s="1"/>
  <c r="AA102" i="8"/>
  <c r="AA100" i="8"/>
  <c r="AA101" i="8"/>
  <c r="AA274" i="5"/>
  <c r="AA189" i="8"/>
  <c r="AC37" i="11"/>
  <c r="AC38" i="11" s="1"/>
  <c r="AC149" i="8"/>
  <c r="Z109" i="8"/>
  <c r="AE96" i="8"/>
  <c r="AE177" i="5" s="1"/>
  <c r="AE181" i="5" s="1"/>
  <c r="AE167" i="8"/>
  <c r="AE178" i="8" s="1"/>
  <c r="AA273" i="5"/>
  <c r="AA188" i="8"/>
  <c r="AD21" i="11"/>
  <c r="AD23" i="11" s="1"/>
  <c r="AD25" i="11" s="1"/>
  <c r="AD28" i="11" s="1"/>
  <c r="AD14" i="11"/>
  <c r="Y109" i="8"/>
  <c r="AD241" i="5"/>
  <c r="AD18" i="12"/>
  <c r="AD20" i="12" s="1"/>
  <c r="AD191" i="5"/>
  <c r="AD193" i="5" s="1"/>
  <c r="AG81" i="8"/>
  <c r="AG188" i="1"/>
  <c r="AH81" i="8" s="1"/>
  <c r="AB130" i="8"/>
  <c r="AB34" i="11"/>
  <c r="AB35" i="11" s="1"/>
  <c r="AB39" i="11" s="1"/>
  <c r="AB40" i="11" s="1"/>
  <c r="AA187" i="8"/>
  <c r="AA272" i="5"/>
  <c r="AA108" i="8"/>
  <c r="AC15" i="11"/>
  <c r="AC20" i="11"/>
  <c r="AC22" i="11" s="1"/>
  <c r="AC24" i="11" s="1"/>
  <c r="AC27" i="11" s="1"/>
  <c r="Z269" i="5"/>
  <c r="Z184" i="8"/>
  <c r="X70" i="13"/>
  <c r="X44" i="13"/>
  <c r="X41" i="13"/>
  <c r="X69" i="13"/>
  <c r="X72" i="13"/>
  <c r="X22" i="13"/>
  <c r="X19" i="13"/>
  <c r="X43" i="13"/>
  <c r="X97" i="13"/>
  <c r="X74" i="13"/>
  <c r="X49" i="13"/>
  <c r="X45" i="13"/>
  <c r="X73" i="13"/>
  <c r="X20" i="13"/>
  <c r="X98" i="13"/>
  <c r="X65" i="13"/>
  <c r="X24" i="13"/>
  <c r="X75" i="13"/>
  <c r="X90" i="13"/>
  <c r="X99" i="13"/>
  <c r="X67" i="13"/>
  <c r="X23" i="13"/>
  <c r="X48" i="13"/>
  <c r="X92" i="13"/>
  <c r="X17" i="13"/>
  <c r="X21" i="13"/>
  <c r="X16" i="13"/>
  <c r="X71" i="13"/>
  <c r="X93" i="13"/>
  <c r="X96" i="13"/>
  <c r="X95" i="13"/>
  <c r="X47" i="13"/>
  <c r="X68" i="13"/>
  <c r="X91" i="13"/>
  <c r="X42" i="13"/>
  <c r="X46" i="13"/>
  <c r="X40" i="13"/>
  <c r="X50" i="13"/>
  <c r="X25" i="13"/>
  <c r="X15" i="13"/>
  <c r="X66" i="13"/>
  <c r="X18" i="13"/>
  <c r="X100" i="13"/>
  <c r="X94" i="13"/>
  <c r="AB101" i="8" l="1"/>
  <c r="AB100" i="8"/>
  <c r="AB102" i="8"/>
  <c r="AD37" i="11"/>
  <c r="AD38" i="11" s="1"/>
  <c r="AD149" i="8"/>
  <c r="AA269" i="5"/>
  <c r="AA184" i="8"/>
  <c r="AF167" i="8"/>
  <c r="AF178" i="8" s="1"/>
  <c r="AF96" i="8"/>
  <c r="AF177" i="5" s="1"/>
  <c r="AF181" i="5" s="1"/>
  <c r="AA190" i="8"/>
  <c r="Z110" i="8"/>
  <c r="Z207" i="5" s="1"/>
  <c r="Z10" i="9"/>
  <c r="Z175" i="5"/>
  <c r="Z191" i="8"/>
  <c r="AB189" i="8"/>
  <c r="AB274" i="5"/>
  <c r="AF13" i="11"/>
  <c r="AG164" i="8"/>
  <c r="AG280" i="5"/>
  <c r="AG277" i="5" s="1"/>
  <c r="AG276" i="5" s="1"/>
  <c r="AG84" i="8"/>
  <c r="AG133" i="8"/>
  <c r="AG148" i="8" s="1"/>
  <c r="AG12" i="11" s="1"/>
  <c r="Y110" i="8"/>
  <c r="Y207" i="5" s="1"/>
  <c r="Y302" i="5"/>
  <c r="Y211" i="5" s="1"/>
  <c r="Y175" i="5"/>
  <c r="Y10" i="9"/>
  <c r="AC106" i="8"/>
  <c r="AC107" i="8"/>
  <c r="AC105" i="8"/>
  <c r="AA183" i="8"/>
  <c r="AA268" i="5"/>
  <c r="AB188" i="8"/>
  <c r="AB273" i="5"/>
  <c r="Y21" i="13"/>
  <c r="Y93" i="13"/>
  <c r="Y70" i="13"/>
  <c r="Y97" i="13"/>
  <c r="Y74" i="13"/>
  <c r="Y23" i="13"/>
  <c r="Y46" i="13"/>
  <c r="Y48" i="13"/>
  <c r="Y71" i="13"/>
  <c r="Y92" i="13"/>
  <c r="Y40" i="13"/>
  <c r="Y17" i="13"/>
  <c r="Y75" i="13"/>
  <c r="Y91" i="13"/>
  <c r="Y25" i="13"/>
  <c r="Y73" i="13"/>
  <c r="Y95" i="13"/>
  <c r="Y72" i="13"/>
  <c r="Y24" i="13"/>
  <c r="Y19" i="13"/>
  <c r="Y94" i="13"/>
  <c r="Y18" i="13"/>
  <c r="Y98" i="13"/>
  <c r="Y45" i="13"/>
  <c r="Y90" i="13"/>
  <c r="Y67" i="13"/>
  <c r="Y16" i="13"/>
  <c r="Y66" i="13"/>
  <c r="Y69" i="13"/>
  <c r="Y65" i="13"/>
  <c r="Y15" i="13"/>
  <c r="Y68" i="13"/>
  <c r="Y49" i="13"/>
  <c r="Y41" i="13"/>
  <c r="Y47" i="13"/>
  <c r="Y50" i="13"/>
  <c r="Y99" i="13"/>
  <c r="Y100" i="13"/>
  <c r="Y96" i="13"/>
  <c r="Y20" i="13"/>
  <c r="Y42" i="13"/>
  <c r="Y22" i="13"/>
  <c r="Y44" i="13"/>
  <c r="Y43" i="13"/>
  <c r="AB187" i="8"/>
  <c r="AB190" i="8" s="1"/>
  <c r="AB272" i="5"/>
  <c r="AB108" i="8"/>
  <c r="AC34" i="11"/>
  <c r="AC35" i="11" s="1"/>
  <c r="AC39" i="11" s="1"/>
  <c r="AC40" i="11" s="1"/>
  <c r="AC130" i="8"/>
  <c r="AH164" i="8"/>
  <c r="AH280" i="5"/>
  <c r="AH277" i="5" s="1"/>
  <c r="AH276" i="5" s="1"/>
  <c r="AH84" i="8"/>
  <c r="AH133" i="8"/>
  <c r="AH148" i="8" s="1"/>
  <c r="AH12" i="11" s="1"/>
  <c r="X31" i="15"/>
  <c r="X75" i="15"/>
  <c r="X68" i="15"/>
  <c r="X72" i="15"/>
  <c r="X64" i="15"/>
  <c r="X57" i="15"/>
  <c r="X49" i="15"/>
  <c r="X42" i="15"/>
  <c r="X18" i="15"/>
  <c r="X35" i="15"/>
  <c r="X28" i="15"/>
  <c r="X20" i="15"/>
  <c r="X13" i="15"/>
  <c r="X74" i="15"/>
  <c r="X77" i="15"/>
  <c r="X71" i="15"/>
  <c r="X54" i="15"/>
  <c r="X47" i="15"/>
  <c r="X41" i="15"/>
  <c r="X32" i="15"/>
  <c r="X26" i="15"/>
  <c r="X19" i="15"/>
  <c r="X14" i="15"/>
  <c r="X45" i="15"/>
  <c r="X62" i="15"/>
  <c r="X50" i="15"/>
  <c r="X34" i="15"/>
  <c r="X22" i="15"/>
  <c r="X73" i="15"/>
  <c r="X59" i="15"/>
  <c r="X78" i="15"/>
  <c r="X61" i="15"/>
  <c r="X55" i="15"/>
  <c r="X48" i="15"/>
  <c r="X43" i="15"/>
  <c r="X33" i="15"/>
  <c r="X27" i="15"/>
  <c r="X21" i="15"/>
  <c r="X15" i="15"/>
  <c r="X60" i="15"/>
  <c r="X69" i="15"/>
  <c r="X56" i="15"/>
  <c r="X44" i="15"/>
  <c r="X29" i="15"/>
  <c r="X16" i="15"/>
  <c r="X76" i="15"/>
  <c r="X40" i="15"/>
  <c r="X12" i="15"/>
  <c r="X36" i="15"/>
  <c r="X46" i="15"/>
  <c r="X30" i="15"/>
  <c r="X70" i="15"/>
  <c r="X17" i="15"/>
  <c r="X63" i="15"/>
  <c r="X58" i="15"/>
  <c r="Y238" i="5"/>
  <c r="Y240" i="5" s="1"/>
  <c r="Y192" i="8"/>
  <c r="Y188" i="5"/>
  <c r="Y190" i="5" s="1"/>
  <c r="Y194" i="5" s="1"/>
  <c r="Y32" i="9"/>
  <c r="AA109" i="8"/>
  <c r="AD15" i="11"/>
  <c r="AD20" i="11"/>
  <c r="AD22" i="11" s="1"/>
  <c r="AD24" i="11" s="1"/>
  <c r="AD27" i="11" s="1"/>
  <c r="AE191" i="5"/>
  <c r="AE193" i="5" s="1"/>
  <c r="AE241" i="5"/>
  <c r="AE18" i="12"/>
  <c r="AE20" i="12" s="1"/>
  <c r="AA267" i="5"/>
  <c r="AA103" i="8"/>
  <c r="AA182" i="8"/>
  <c r="AA185" i="8" s="1"/>
  <c r="AA191" i="8" s="1"/>
  <c r="AE14" i="11"/>
  <c r="X11" i="12"/>
  <c r="X13" i="12" s="1"/>
  <c r="X21" i="12" s="1"/>
  <c r="U79" i="5"/>
  <c r="U80" i="5" s="1"/>
  <c r="U33" i="9"/>
  <c r="U31" i="9" s="1"/>
  <c r="U35" i="9" s="1"/>
  <c r="U289" i="5"/>
  <c r="U11" i="9" s="1"/>
  <c r="Y75" i="15" l="1"/>
  <c r="Y68" i="15"/>
  <c r="Y72" i="15"/>
  <c r="Y64" i="15"/>
  <c r="Y57" i="15"/>
  <c r="Y49" i="15"/>
  <c r="Y42" i="15"/>
  <c r="Y76" i="15"/>
  <c r="Y70" i="15"/>
  <c r="Y63" i="15"/>
  <c r="Y58" i="15"/>
  <c r="Y40" i="15"/>
  <c r="Y73" i="15"/>
  <c r="Y34" i="15"/>
  <c r="Y27" i="15"/>
  <c r="Y19" i="15"/>
  <c r="Y12" i="15"/>
  <c r="Y16" i="15"/>
  <c r="Y74" i="15"/>
  <c r="Y78" i="15"/>
  <c r="Y61" i="15"/>
  <c r="Y48" i="15"/>
  <c r="Y46" i="15"/>
  <c r="Y29" i="15"/>
  <c r="Y14" i="15"/>
  <c r="Y45" i="15"/>
  <c r="Y77" i="15"/>
  <c r="Y71" i="15"/>
  <c r="Y54" i="15"/>
  <c r="Y47" i="15"/>
  <c r="Y41" i="15"/>
  <c r="Y60" i="15"/>
  <c r="Y35" i="15"/>
  <c r="Y28" i="15"/>
  <c r="Y20" i="15"/>
  <c r="Y13" i="15"/>
  <c r="Y31" i="15"/>
  <c r="Y59" i="15"/>
  <c r="Y55" i="15"/>
  <c r="Y43" i="15"/>
  <c r="Y36" i="15"/>
  <c r="Y21" i="15"/>
  <c r="Y17" i="15"/>
  <c r="Y69" i="15"/>
  <c r="Y44" i="15"/>
  <c r="Y22" i="15"/>
  <c r="Y26" i="15"/>
  <c r="Y32" i="15"/>
  <c r="Y62" i="15"/>
  <c r="Y33" i="15"/>
  <c r="Y15" i="15"/>
  <c r="Y56" i="15"/>
  <c r="Y18" i="15"/>
  <c r="Y50" i="15"/>
  <c r="Y30" i="15"/>
  <c r="AA175" i="5"/>
  <c r="AA10" i="9"/>
  <c r="AA110" i="8"/>
  <c r="AA207" i="5" s="1"/>
  <c r="AC101" i="8"/>
  <c r="AC100" i="8"/>
  <c r="AC102" i="8"/>
  <c r="AG13" i="11"/>
  <c r="AF14" i="11"/>
  <c r="AF21" i="11" s="1"/>
  <c r="AF23" i="11" s="1"/>
  <c r="AF25" i="11" s="1"/>
  <c r="AF28" i="11" s="1"/>
  <c r="Z192" i="8"/>
  <c r="Z32" i="9"/>
  <c r="Z238" i="5"/>
  <c r="Z240" i="5" s="1"/>
  <c r="Z188" i="5"/>
  <c r="Z190" i="5" s="1"/>
  <c r="Z194" i="5" s="1"/>
  <c r="AE15" i="11"/>
  <c r="AE20" i="11"/>
  <c r="AE22" i="11" s="1"/>
  <c r="AE24" i="11" s="1"/>
  <c r="AE27" i="11" s="1"/>
  <c r="AH96" i="8"/>
  <c r="AH177" i="5" s="1"/>
  <c r="AH181" i="5" s="1"/>
  <c r="AH167" i="8"/>
  <c r="AH178" i="8" s="1"/>
  <c r="V78" i="5"/>
  <c r="U297" i="5"/>
  <c r="U296" i="5" s="1"/>
  <c r="Z20" i="13"/>
  <c r="Z68" i="13"/>
  <c r="Z21" i="13"/>
  <c r="Z93" i="13"/>
  <c r="Z42" i="13"/>
  <c r="Z18" i="13"/>
  <c r="Z73" i="13"/>
  <c r="Z70" i="13"/>
  <c r="Z98" i="13"/>
  <c r="Z65" i="13"/>
  <c r="Z40" i="13"/>
  <c r="Z43" i="13"/>
  <c r="Z67" i="13"/>
  <c r="Z46" i="13"/>
  <c r="Z71" i="13"/>
  <c r="Z22" i="13"/>
  <c r="Z45" i="13"/>
  <c r="Z50" i="13"/>
  <c r="Z97" i="13"/>
  <c r="Z74" i="13"/>
  <c r="Z23" i="13"/>
  <c r="Z96" i="13"/>
  <c r="Z66" i="13"/>
  <c r="Z95" i="13"/>
  <c r="Z100" i="13"/>
  <c r="Z47" i="13"/>
  <c r="Z24" i="13"/>
  <c r="Z19" i="13"/>
  <c r="Z99" i="13"/>
  <c r="Z25" i="13"/>
  <c r="Z48" i="13"/>
  <c r="Z92" i="13"/>
  <c r="Z15" i="13"/>
  <c r="Z91" i="13"/>
  <c r="Z41" i="13"/>
  <c r="Z16" i="13"/>
  <c r="Z94" i="13"/>
  <c r="Z44" i="13"/>
  <c r="Z90" i="13"/>
  <c r="Z49" i="13"/>
  <c r="Z69" i="13"/>
  <c r="Z75" i="13"/>
  <c r="Z72" i="13"/>
  <c r="Z17" i="13"/>
  <c r="AC274" i="5"/>
  <c r="AC189" i="8"/>
  <c r="AB103" i="8"/>
  <c r="AB267" i="5"/>
  <c r="AB182" i="8"/>
  <c r="AA192" i="8"/>
  <c r="AA32" i="9"/>
  <c r="AA188" i="5"/>
  <c r="AA190" i="5" s="1"/>
  <c r="AA194" i="5" s="1"/>
  <c r="AA238" i="5"/>
  <c r="AA240" i="5" s="1"/>
  <c r="AH13" i="11"/>
  <c r="AF241" i="5"/>
  <c r="AF191" i="5"/>
  <c r="AF193" i="5" s="1"/>
  <c r="AF18" i="12"/>
  <c r="AF20" i="12" s="1"/>
  <c r="AC108" i="8"/>
  <c r="AC272" i="5"/>
  <c r="AC187" i="8"/>
  <c r="AG96" i="8"/>
  <c r="AG177" i="5" s="1"/>
  <c r="AG181" i="5" s="1"/>
  <c r="AG167" i="8"/>
  <c r="AG178" i="8" s="1"/>
  <c r="AB269" i="5"/>
  <c r="AB184" i="8"/>
  <c r="AE21" i="11"/>
  <c r="AE23" i="11" s="1"/>
  <c r="AE25" i="11" s="1"/>
  <c r="AE28" i="11" s="1"/>
  <c r="AD130" i="8"/>
  <c r="AD34" i="11"/>
  <c r="AD35" i="11" s="1"/>
  <c r="AD39" i="11" s="1"/>
  <c r="AD40" i="11" s="1"/>
  <c r="Y11" i="12"/>
  <c r="Y13" i="12" s="1"/>
  <c r="Y21" i="12" s="1"/>
  <c r="AB109" i="8"/>
  <c r="AC188" i="8"/>
  <c r="AC273" i="5"/>
  <c r="Z302" i="5"/>
  <c r="Z211" i="5" s="1"/>
  <c r="AD106" i="8"/>
  <c r="AD107" i="8"/>
  <c r="AD105" i="8"/>
  <c r="AB268" i="5"/>
  <c r="AB183" i="8"/>
  <c r="AF37" i="11" l="1"/>
  <c r="AF38" i="11" s="1"/>
  <c r="AF149" i="8"/>
  <c r="AG18" i="12"/>
  <c r="AG191" i="5"/>
  <c r="AG241" i="5"/>
  <c r="B121" i="5"/>
  <c r="D16" i="7" s="1"/>
  <c r="AA11" i="12"/>
  <c r="AA13" i="12" s="1"/>
  <c r="AA21" i="12" s="1"/>
  <c r="AE149" i="8"/>
  <c r="AE37" i="11"/>
  <c r="AE38" i="11" s="1"/>
  <c r="AA90" i="13"/>
  <c r="AA71" i="13"/>
  <c r="AA92" i="13"/>
  <c r="AA40" i="13"/>
  <c r="AA17" i="13"/>
  <c r="AA68" i="13"/>
  <c r="AA21" i="13"/>
  <c r="AA93" i="13"/>
  <c r="AA42" i="13"/>
  <c r="AA18" i="13"/>
  <c r="AA66" i="13"/>
  <c r="AA70" i="13"/>
  <c r="AA65" i="13"/>
  <c r="AA19" i="13"/>
  <c r="AA99" i="13"/>
  <c r="AA25" i="13"/>
  <c r="AA41" i="13"/>
  <c r="AA20" i="13"/>
  <c r="AA69" i="13"/>
  <c r="AA72" i="13"/>
  <c r="AA22" i="13"/>
  <c r="AA96" i="13"/>
  <c r="AA50" i="13"/>
  <c r="AA97" i="13"/>
  <c r="AA74" i="13"/>
  <c r="AA23" i="13"/>
  <c r="AA46" i="13"/>
  <c r="AA48" i="13"/>
  <c r="AA98" i="13"/>
  <c r="AA24" i="13"/>
  <c r="AA43" i="13"/>
  <c r="AA67" i="13"/>
  <c r="AA44" i="13"/>
  <c r="AA45" i="13"/>
  <c r="AA15" i="13"/>
  <c r="AA49" i="13"/>
  <c r="AA94" i="13"/>
  <c r="AA91" i="13"/>
  <c r="AA95" i="13"/>
  <c r="AA75" i="13"/>
  <c r="AA16" i="13"/>
  <c r="AA100" i="13"/>
  <c r="AA73" i="13"/>
  <c r="AA47" i="13"/>
  <c r="AC184" i="8"/>
  <c r="AC269" i="5"/>
  <c r="AD108" i="8"/>
  <c r="AD272" i="5"/>
  <c r="AD187" i="8"/>
  <c r="AC190" i="8"/>
  <c r="AH14" i="11"/>
  <c r="AB45" i="13"/>
  <c r="AB73" i="13"/>
  <c r="AB90" i="13"/>
  <c r="AB98" i="13"/>
  <c r="AB65" i="13"/>
  <c r="AB24" i="13"/>
  <c r="AB75" i="13"/>
  <c r="AB20" i="13"/>
  <c r="AB99" i="13"/>
  <c r="AB67" i="13"/>
  <c r="AB42" i="13"/>
  <c r="AB48" i="13"/>
  <c r="AB92" i="13"/>
  <c r="AB17" i="13"/>
  <c r="AB21" i="13"/>
  <c r="AB23" i="13"/>
  <c r="AB96" i="13"/>
  <c r="AB66" i="13"/>
  <c r="AB95" i="13"/>
  <c r="AB100" i="13"/>
  <c r="AB47" i="13"/>
  <c r="AB15" i="13"/>
  <c r="AB68" i="13"/>
  <c r="AB94" i="13"/>
  <c r="AB91" i="13"/>
  <c r="AB49" i="13"/>
  <c r="AB25" i="13"/>
  <c r="AB46" i="13"/>
  <c r="AB71" i="13"/>
  <c r="AB40" i="13"/>
  <c r="AB50" i="13"/>
  <c r="AB93" i="13"/>
  <c r="AB16" i="13"/>
  <c r="AB69" i="13"/>
  <c r="AB43" i="13"/>
  <c r="AB74" i="13"/>
  <c r="AB41" i="13"/>
  <c r="AB18" i="13"/>
  <c r="AB70" i="13"/>
  <c r="AB72" i="13"/>
  <c r="AB97" i="13"/>
  <c r="AB44" i="13"/>
  <c r="AB22" i="13"/>
  <c r="AB19" i="13"/>
  <c r="AC103" i="8"/>
  <c r="AC267" i="5"/>
  <c r="AC182" i="8"/>
  <c r="AD188" i="8"/>
  <c r="AD273" i="5"/>
  <c r="AB175" i="5"/>
  <c r="AB10" i="9"/>
  <c r="AB110" i="8"/>
  <c r="AB207" i="5" s="1"/>
  <c r="AD102" i="8"/>
  <c r="AD100" i="8"/>
  <c r="AD101" i="8"/>
  <c r="AC109" i="8"/>
  <c r="V79" i="5"/>
  <c r="V80" i="5" s="1"/>
  <c r="V33" i="9"/>
  <c r="V31" i="9" s="1"/>
  <c r="V35" i="9" s="1"/>
  <c r="V289" i="5"/>
  <c r="V11" i="9" s="1"/>
  <c r="Z11" i="12"/>
  <c r="Z13" i="12" s="1"/>
  <c r="Z21" i="12" s="1"/>
  <c r="Z76" i="15"/>
  <c r="Z69" i="15"/>
  <c r="Z61" i="15"/>
  <c r="Z54" i="15"/>
  <c r="Z58" i="15"/>
  <c r="Z50" i="15"/>
  <c r="Z45" i="15"/>
  <c r="Z46" i="15"/>
  <c r="Z44" i="15"/>
  <c r="Z36" i="15"/>
  <c r="Z29" i="15"/>
  <c r="Z21" i="15"/>
  <c r="Z14" i="15"/>
  <c r="Z17" i="15"/>
  <c r="Z78" i="15"/>
  <c r="Z63" i="15"/>
  <c r="Z48" i="15"/>
  <c r="Z73" i="15"/>
  <c r="Z34" i="15"/>
  <c r="Z27" i="15"/>
  <c r="Z12" i="15"/>
  <c r="Z77" i="15"/>
  <c r="Z70" i="15"/>
  <c r="Z62" i="15"/>
  <c r="Z55" i="15"/>
  <c r="Z47" i="15"/>
  <c r="Z40" i="15"/>
  <c r="Z32" i="15"/>
  <c r="Z41" i="15"/>
  <c r="Z33" i="15"/>
  <c r="Z26" i="15"/>
  <c r="Z30" i="15"/>
  <c r="Z22" i="15"/>
  <c r="Z15" i="15"/>
  <c r="Z18" i="15"/>
  <c r="Z71" i="15"/>
  <c r="Z56" i="15"/>
  <c r="Z74" i="15"/>
  <c r="Z42" i="15"/>
  <c r="Z19" i="15"/>
  <c r="Z16" i="15"/>
  <c r="Z68" i="15"/>
  <c r="Z49" i="15"/>
  <c r="Z35" i="15"/>
  <c r="Z31" i="15"/>
  <c r="Z64" i="15"/>
  <c r="Z20" i="15"/>
  <c r="Z75" i="15"/>
  <c r="Z43" i="15"/>
  <c r="Z13" i="15"/>
  <c r="Z72" i="15"/>
  <c r="Z59" i="15"/>
  <c r="Z28" i="15"/>
  <c r="Z60" i="15"/>
  <c r="Z57" i="15"/>
  <c r="AB185" i="8"/>
  <c r="AB191" i="8" s="1"/>
  <c r="AH241" i="5"/>
  <c r="AH191" i="5"/>
  <c r="AH193" i="5" s="1"/>
  <c r="AH18" i="12"/>
  <c r="AH20" i="12" s="1"/>
  <c r="AF15" i="11"/>
  <c r="AF20" i="11"/>
  <c r="AF22" i="11" s="1"/>
  <c r="AF24" i="11" s="1"/>
  <c r="AF27" i="11" s="1"/>
  <c r="AA302" i="5"/>
  <c r="AA211" i="5" s="1"/>
  <c r="AD189" i="8"/>
  <c r="AD274" i="5"/>
  <c r="AE130" i="8"/>
  <c r="AE34" i="11"/>
  <c r="AE35" i="11" s="1"/>
  <c r="AG14" i="11"/>
  <c r="AC183" i="8"/>
  <c r="AC268" i="5"/>
  <c r="AE102" i="8" l="1"/>
  <c r="AE100" i="8"/>
  <c r="AE101" i="8"/>
  <c r="V297" i="5"/>
  <c r="V296" i="5" s="1"/>
  <c r="W78" i="5"/>
  <c r="AH15" i="11"/>
  <c r="AH20" i="11"/>
  <c r="AH22" i="11" s="1"/>
  <c r="AH24" i="11" s="1"/>
  <c r="AH27" i="11" s="1"/>
  <c r="AG193" i="5"/>
  <c r="B123" i="5"/>
  <c r="AG20" i="12"/>
  <c r="B37" i="12"/>
  <c r="AD268" i="5"/>
  <c r="AD183" i="8"/>
  <c r="AB302" i="5"/>
  <c r="AB211" i="5" s="1"/>
  <c r="AE106" i="8"/>
  <c r="AE107" i="8"/>
  <c r="AE105" i="8"/>
  <c r="AF106" i="8"/>
  <c r="AF107" i="8"/>
  <c r="AF105" i="8"/>
  <c r="AB238" i="5"/>
  <c r="AB240" i="5" s="1"/>
  <c r="AB188" i="5"/>
  <c r="AB190" i="5" s="1"/>
  <c r="AB194" i="5" s="1"/>
  <c r="AB192" i="8"/>
  <c r="AB32" i="9"/>
  <c r="AD184" i="8"/>
  <c r="AD269" i="5"/>
  <c r="AB31" i="15"/>
  <c r="AB17" i="15"/>
  <c r="AB76" i="15"/>
  <c r="AB69" i="15"/>
  <c r="AB61" i="15"/>
  <c r="AB54" i="15"/>
  <c r="AB58" i="15"/>
  <c r="AB50" i="15"/>
  <c r="AB43" i="15"/>
  <c r="AB35" i="15"/>
  <c r="AB28" i="15"/>
  <c r="AB20" i="15"/>
  <c r="AB13" i="15"/>
  <c r="AB60" i="15"/>
  <c r="AB59" i="15"/>
  <c r="AB78" i="15"/>
  <c r="AB63" i="15"/>
  <c r="AB48" i="15"/>
  <c r="AB33" i="15"/>
  <c r="AB30" i="15"/>
  <c r="AB15" i="15"/>
  <c r="AB73" i="15"/>
  <c r="AB74" i="15"/>
  <c r="AB32" i="15"/>
  <c r="AB77" i="15"/>
  <c r="AB70" i="15"/>
  <c r="AB62" i="15"/>
  <c r="AB55" i="15"/>
  <c r="AB47" i="15"/>
  <c r="AB40" i="15"/>
  <c r="AB44" i="15"/>
  <c r="AB36" i="15"/>
  <c r="AB29" i="15"/>
  <c r="AB21" i="15"/>
  <c r="AB14" i="15"/>
  <c r="AB18" i="15"/>
  <c r="AB71" i="15"/>
  <c r="AB56" i="15"/>
  <c r="AB41" i="15"/>
  <c r="AB26" i="15"/>
  <c r="AB22" i="15"/>
  <c r="AB75" i="15"/>
  <c r="AB57" i="15"/>
  <c r="AB27" i="15"/>
  <c r="AB72" i="15"/>
  <c r="AB12" i="15"/>
  <c r="AB64" i="15"/>
  <c r="AB16" i="15"/>
  <c r="AB68" i="15"/>
  <c r="AB49" i="15"/>
  <c r="AB19" i="15"/>
  <c r="AB46" i="15"/>
  <c r="AB42" i="15"/>
  <c r="AB45" i="15"/>
  <c r="AB34" i="15"/>
  <c r="AG15" i="11"/>
  <c r="AG20" i="11"/>
  <c r="AG22" i="11" s="1"/>
  <c r="AG24" i="11" s="1"/>
  <c r="AG27" i="11" s="1"/>
  <c r="AA59" i="15"/>
  <c r="AA75" i="15"/>
  <c r="AA68" i="15"/>
  <c r="AA72" i="15"/>
  <c r="AA64" i="15"/>
  <c r="AA57" i="15"/>
  <c r="AA49" i="15"/>
  <c r="AA60" i="15"/>
  <c r="AA43" i="15"/>
  <c r="AA35" i="15"/>
  <c r="AA28" i="15"/>
  <c r="AA20" i="15"/>
  <c r="AA13" i="15"/>
  <c r="AA31" i="15"/>
  <c r="AA32" i="15"/>
  <c r="AA70" i="15"/>
  <c r="AA55" i="15"/>
  <c r="AA40" i="15"/>
  <c r="AA33" i="15"/>
  <c r="AA30" i="15"/>
  <c r="AA15" i="15"/>
  <c r="AA45" i="15"/>
  <c r="AA76" i="15"/>
  <c r="AA69" i="15"/>
  <c r="AA61" i="15"/>
  <c r="AA54" i="15"/>
  <c r="AA58" i="15"/>
  <c r="AA50" i="15"/>
  <c r="AA46" i="15"/>
  <c r="AA44" i="15"/>
  <c r="AA36" i="15"/>
  <c r="AA29" i="15"/>
  <c r="AA21" i="15"/>
  <c r="AA14" i="15"/>
  <c r="AA17" i="15"/>
  <c r="AA77" i="15"/>
  <c r="AA62" i="15"/>
  <c r="AA47" i="15"/>
  <c r="AA41" i="15"/>
  <c r="AA26" i="15"/>
  <c r="AA22" i="15"/>
  <c r="AA74" i="15"/>
  <c r="AA63" i="15"/>
  <c r="AA42" i="15"/>
  <c r="AA12" i="15"/>
  <c r="AA78" i="15"/>
  <c r="AA27" i="15"/>
  <c r="AA73" i="15"/>
  <c r="AA18" i="15"/>
  <c r="AA56" i="15"/>
  <c r="AA34" i="15"/>
  <c r="AA16" i="15"/>
  <c r="AA48" i="15"/>
  <c r="AA71" i="15"/>
  <c r="AA19" i="15"/>
  <c r="AC10" i="9"/>
  <c r="AC175" i="5"/>
  <c r="AC302" i="5"/>
  <c r="AC211" i="5" s="1"/>
  <c r="AC110" i="8"/>
  <c r="AC207" i="5" s="1"/>
  <c r="AH21" i="11"/>
  <c r="AH23" i="11" s="1"/>
  <c r="AH25" i="11" s="1"/>
  <c r="AH28" i="11" s="1"/>
  <c r="AG21" i="11"/>
  <c r="AG23" i="11" s="1"/>
  <c r="AG25" i="11" s="1"/>
  <c r="AG28" i="11" s="1"/>
  <c r="AE39" i="11"/>
  <c r="AE40" i="11" s="1"/>
  <c r="AF130" i="8"/>
  <c r="AF34" i="11"/>
  <c r="AF35" i="11" s="1"/>
  <c r="AF39" i="11" s="1"/>
  <c r="AF40" i="11" s="1"/>
  <c r="AD182" i="8"/>
  <c r="AD185" i="8" s="1"/>
  <c r="AD267" i="5"/>
  <c r="AD103" i="8"/>
  <c r="AD109" i="8" s="1"/>
  <c r="AC185" i="8"/>
  <c r="AC191" i="8" s="1"/>
  <c r="AD190" i="8"/>
  <c r="AD110" i="8" l="1"/>
  <c r="AD207" i="5" s="1"/>
  <c r="AD10" i="9"/>
  <c r="AD302" i="5"/>
  <c r="AD211" i="5" s="1"/>
  <c r="AD175" i="5"/>
  <c r="AC238" i="5"/>
  <c r="AC240" i="5" s="1"/>
  <c r="AC32" i="9"/>
  <c r="AC192" i="8"/>
  <c r="AC188" i="5"/>
  <c r="AC190" i="5" s="1"/>
  <c r="AC194" i="5" s="1"/>
  <c r="AF187" i="8"/>
  <c r="AF108" i="8"/>
  <c r="AF272" i="5"/>
  <c r="AE189" i="8"/>
  <c r="AE274" i="5"/>
  <c r="AB11" i="12"/>
  <c r="AB13" i="12" s="1"/>
  <c r="AB21" i="12" s="1"/>
  <c r="AF189" i="8"/>
  <c r="AF274" i="5"/>
  <c r="B39" i="12"/>
  <c r="C37" i="12"/>
  <c r="AH130" i="8"/>
  <c r="AH34" i="11"/>
  <c r="AH35" i="11" s="1"/>
  <c r="AE183" i="8"/>
  <c r="AE268" i="5"/>
  <c r="AC20" i="13"/>
  <c r="AC99" i="13"/>
  <c r="AC67" i="13"/>
  <c r="AC25" i="13"/>
  <c r="AC46" i="13"/>
  <c r="AC48" i="13"/>
  <c r="AC71" i="13"/>
  <c r="AC92" i="13"/>
  <c r="AC40" i="13"/>
  <c r="AC17" i="13"/>
  <c r="AC68" i="13"/>
  <c r="AC93" i="13"/>
  <c r="AC18" i="13"/>
  <c r="AC90" i="13"/>
  <c r="AC65" i="13"/>
  <c r="AC19" i="13"/>
  <c r="AC94" i="13"/>
  <c r="AC91" i="13"/>
  <c r="AC49" i="13"/>
  <c r="AC16" i="13"/>
  <c r="AC44" i="13"/>
  <c r="AC41" i="13"/>
  <c r="AC69" i="13"/>
  <c r="AC72" i="13"/>
  <c r="AC22" i="13"/>
  <c r="AC96" i="13"/>
  <c r="AC50" i="13"/>
  <c r="AC21" i="13"/>
  <c r="AC42" i="13"/>
  <c r="AC73" i="13"/>
  <c r="AC98" i="13"/>
  <c r="AC24" i="13"/>
  <c r="AC43" i="13"/>
  <c r="AC74" i="13"/>
  <c r="AC95" i="13"/>
  <c r="AC75" i="13"/>
  <c r="AC70" i="13"/>
  <c r="AC47" i="13"/>
  <c r="AC66" i="13"/>
  <c r="AC23" i="13"/>
  <c r="AC100" i="13"/>
  <c r="AC45" i="13"/>
  <c r="AC97" i="13"/>
  <c r="AC15" i="13"/>
  <c r="AF188" i="8"/>
  <c r="AF273" i="5"/>
  <c r="B11" i="14"/>
  <c r="B10" i="14"/>
  <c r="AE267" i="5"/>
  <c r="AE182" i="8"/>
  <c r="AE103" i="8"/>
  <c r="AG149" i="8"/>
  <c r="AG37" i="11"/>
  <c r="AG38" i="11" s="1"/>
  <c r="AE273" i="5"/>
  <c r="AE188" i="8"/>
  <c r="AD191" i="8"/>
  <c r="AF102" i="8"/>
  <c r="AF100" i="8"/>
  <c r="AF101" i="8"/>
  <c r="AH149" i="8"/>
  <c r="AH37" i="11"/>
  <c r="AH38" i="11" s="1"/>
  <c r="AG130" i="8"/>
  <c r="AG34" i="11"/>
  <c r="AG35" i="11" s="1"/>
  <c r="AE272" i="5"/>
  <c r="AE187" i="8"/>
  <c r="AE190" i="8" s="1"/>
  <c r="AE108" i="8"/>
  <c r="W289" i="5"/>
  <c r="W11" i="9" s="1"/>
  <c r="W79" i="5"/>
  <c r="W80" i="5" s="1"/>
  <c r="W33" i="9"/>
  <c r="W31" i="9" s="1"/>
  <c r="W35" i="9" s="1"/>
  <c r="AE269" i="5"/>
  <c r="AE184" i="8"/>
  <c r="AG101" i="8" l="1"/>
  <c r="AG100" i="8"/>
  <c r="AG102" i="8"/>
  <c r="AF182" i="8"/>
  <c r="AF103" i="8"/>
  <c r="AF267" i="5"/>
  <c r="AD20" i="13"/>
  <c r="AD50" i="13"/>
  <c r="AD21" i="13"/>
  <c r="AD93" i="13"/>
  <c r="AD42" i="13"/>
  <c r="AD18" i="13"/>
  <c r="AD44" i="13"/>
  <c r="AD41" i="13"/>
  <c r="AD98" i="13"/>
  <c r="AD65" i="13"/>
  <c r="AD22" i="13"/>
  <c r="AD75" i="13"/>
  <c r="AD99" i="13"/>
  <c r="AD25" i="13"/>
  <c r="AD66" i="13"/>
  <c r="AD92" i="13"/>
  <c r="AD17" i="13"/>
  <c r="AD19" i="13"/>
  <c r="AD43" i="13"/>
  <c r="AD97" i="13"/>
  <c r="AD74" i="13"/>
  <c r="AD23" i="13"/>
  <c r="AD45" i="13"/>
  <c r="AD73" i="13"/>
  <c r="AD95" i="13"/>
  <c r="AD100" i="13"/>
  <c r="AD40" i="13"/>
  <c r="AD15" i="13"/>
  <c r="AD70" i="13"/>
  <c r="AD67" i="13"/>
  <c r="AD96" i="13"/>
  <c r="AD71" i="13"/>
  <c r="AD24" i="13"/>
  <c r="AD94" i="13"/>
  <c r="AD46" i="13"/>
  <c r="AD47" i="13"/>
  <c r="AD90" i="13"/>
  <c r="AD69" i="13"/>
  <c r="AD68" i="13"/>
  <c r="AD72" i="13"/>
  <c r="AD91" i="13"/>
  <c r="AD48" i="13"/>
  <c r="AD49" i="13"/>
  <c r="AD16" i="13"/>
  <c r="AC11" i="12"/>
  <c r="AC13" i="12" s="1"/>
  <c r="AC21" i="12" s="1"/>
  <c r="AH106" i="8"/>
  <c r="AH107" i="8"/>
  <c r="AH105" i="8"/>
  <c r="AD188" i="5"/>
  <c r="AD190" i="5" s="1"/>
  <c r="AD194" i="5" s="1"/>
  <c r="AD238" i="5"/>
  <c r="AD240" i="5" s="1"/>
  <c r="AD192" i="8"/>
  <c r="AD32" i="9"/>
  <c r="AG106" i="8"/>
  <c r="AG107" i="8"/>
  <c r="AG105" i="8"/>
  <c r="AE185" i="8"/>
  <c r="AE191" i="8" s="1"/>
  <c r="C39" i="12"/>
  <c r="C36" i="12"/>
  <c r="C35" i="12"/>
  <c r="C38" i="12"/>
  <c r="AF109" i="8"/>
  <c r="AH100" i="8"/>
  <c r="AH101" i="8"/>
  <c r="AH102" i="8"/>
  <c r="W297" i="5"/>
  <c r="W296" i="5" s="1"/>
  <c r="X78" i="5"/>
  <c r="AF184" i="8"/>
  <c r="AF269" i="5"/>
  <c r="AC77" i="15"/>
  <c r="AC70" i="15"/>
  <c r="AC62" i="15"/>
  <c r="AC55" i="15"/>
  <c r="AC47" i="15"/>
  <c r="AC40" i="15"/>
  <c r="AC44" i="15"/>
  <c r="AC31" i="15"/>
  <c r="AC36" i="15"/>
  <c r="AC29" i="15"/>
  <c r="AC21" i="15"/>
  <c r="AC14" i="15"/>
  <c r="AC59" i="15"/>
  <c r="AC18" i="15"/>
  <c r="AC75" i="15"/>
  <c r="AC72" i="15"/>
  <c r="AC57" i="15"/>
  <c r="AC42" i="15"/>
  <c r="AC34" i="15"/>
  <c r="AC19" i="15"/>
  <c r="AC16" i="15"/>
  <c r="AC78" i="15"/>
  <c r="AC71" i="15"/>
  <c r="AC63" i="15"/>
  <c r="AC56" i="15"/>
  <c r="AC48" i="15"/>
  <c r="AC41" i="15"/>
  <c r="AC73" i="15"/>
  <c r="AC33" i="15"/>
  <c r="AC26" i="15"/>
  <c r="AC30" i="15"/>
  <c r="AC22" i="15"/>
  <c r="AC15" i="15"/>
  <c r="AC45" i="15"/>
  <c r="AC68" i="15"/>
  <c r="AC64" i="15"/>
  <c r="AC49" i="15"/>
  <c r="AC60" i="15"/>
  <c r="AC27" i="15"/>
  <c r="AC12" i="15"/>
  <c r="AC17" i="15"/>
  <c r="AC61" i="15"/>
  <c r="AC43" i="15"/>
  <c r="AC20" i="15"/>
  <c r="AC76" i="15"/>
  <c r="AC58" i="15"/>
  <c r="AC74" i="15"/>
  <c r="AC69" i="15"/>
  <c r="AC28" i="15"/>
  <c r="AC32" i="15"/>
  <c r="AC54" i="15"/>
  <c r="AC46" i="15"/>
  <c r="AC13" i="15"/>
  <c r="AC35" i="15"/>
  <c r="AC50" i="15"/>
  <c r="AE109" i="8"/>
  <c r="AG39" i="11"/>
  <c r="AG40" i="11" s="1"/>
  <c r="J215" i="1" s="1"/>
  <c r="K215" i="1" s="1"/>
  <c r="AF268" i="5"/>
  <c r="AF183" i="8"/>
  <c r="AH39" i="11"/>
  <c r="AH40" i="11" s="1"/>
  <c r="AF190" i="8"/>
  <c r="AH103" i="8" l="1"/>
  <c r="AH182" i="8"/>
  <c r="AH267" i="5"/>
  <c r="AG274" i="5"/>
  <c r="AG189" i="8"/>
  <c r="AE20" i="13"/>
  <c r="AE98" i="13"/>
  <c r="AE65" i="13"/>
  <c r="AE24" i="13"/>
  <c r="AE19" i="13"/>
  <c r="AE43" i="13"/>
  <c r="AE97" i="13"/>
  <c r="AE74" i="13"/>
  <c r="AE23" i="13"/>
  <c r="AE46" i="13"/>
  <c r="AE41" i="13"/>
  <c r="AE71" i="13"/>
  <c r="AE40" i="13"/>
  <c r="AE68" i="13"/>
  <c r="AE91" i="13"/>
  <c r="AE16" i="13"/>
  <c r="AE73" i="13"/>
  <c r="AE95" i="13"/>
  <c r="AE100" i="13"/>
  <c r="AE47" i="13"/>
  <c r="AE15" i="13"/>
  <c r="AE75" i="13"/>
  <c r="AE70" i="13"/>
  <c r="AE99" i="13"/>
  <c r="AE67" i="13"/>
  <c r="AE25" i="13"/>
  <c r="AE44" i="13"/>
  <c r="AE48" i="13"/>
  <c r="AE45" i="13"/>
  <c r="AE92" i="13"/>
  <c r="AE17" i="13"/>
  <c r="AE94" i="13"/>
  <c r="AE49" i="13"/>
  <c r="AE72" i="13"/>
  <c r="AE21" i="13"/>
  <c r="AE66" i="13"/>
  <c r="AE90" i="13"/>
  <c r="AE96" i="13"/>
  <c r="AE69" i="13"/>
  <c r="AE18" i="13"/>
  <c r="AE22" i="13"/>
  <c r="AE93" i="13"/>
  <c r="AE42" i="13"/>
  <c r="AE50" i="13"/>
  <c r="AE110" i="8"/>
  <c r="AE207" i="5" s="1"/>
  <c r="AE302" i="5"/>
  <c r="AE211" i="5" s="1"/>
  <c r="AE175" i="5"/>
  <c r="AE10" i="9"/>
  <c r="AH269" i="5"/>
  <c r="AH184" i="8"/>
  <c r="AE192" i="8"/>
  <c r="AE188" i="5"/>
  <c r="AE190" i="5" s="1"/>
  <c r="AE194" i="5" s="1"/>
  <c r="AE32" i="9"/>
  <c r="AE238" i="5"/>
  <c r="AE240" i="5" s="1"/>
  <c r="AH108" i="8"/>
  <c r="AH109" i="8" s="1"/>
  <c r="AH272" i="5"/>
  <c r="AH187" i="8"/>
  <c r="AD75" i="15"/>
  <c r="AD68" i="15"/>
  <c r="AD72" i="15"/>
  <c r="AD64" i="15"/>
  <c r="AD57" i="15"/>
  <c r="AD49" i="15"/>
  <c r="AD42" i="15"/>
  <c r="AD33" i="15"/>
  <c r="AD26" i="15"/>
  <c r="AD30" i="15"/>
  <c r="AD22" i="15"/>
  <c r="AD15" i="15"/>
  <c r="AD45" i="15"/>
  <c r="AD46" i="15"/>
  <c r="AD77" i="15"/>
  <c r="AD62" i="15"/>
  <c r="AD47" i="15"/>
  <c r="AD44" i="15"/>
  <c r="AD28" i="15"/>
  <c r="AD13" i="15"/>
  <c r="AD73" i="15"/>
  <c r="AD76" i="15"/>
  <c r="AD69" i="15"/>
  <c r="AD61" i="15"/>
  <c r="AD54" i="15"/>
  <c r="AD58" i="15"/>
  <c r="AD50" i="15"/>
  <c r="AD43" i="15"/>
  <c r="AD34" i="15"/>
  <c r="AD27" i="15"/>
  <c r="AD19" i="15"/>
  <c r="AD12" i="15"/>
  <c r="AD16" i="15"/>
  <c r="AD17" i="15"/>
  <c r="AD32" i="15"/>
  <c r="AD70" i="15"/>
  <c r="AD55" i="15"/>
  <c r="AD40" i="15"/>
  <c r="AD35" i="15"/>
  <c r="AD20" i="15"/>
  <c r="AD74" i="15"/>
  <c r="AD18" i="15"/>
  <c r="AD56" i="15"/>
  <c r="AD36" i="15"/>
  <c r="AD59" i="15"/>
  <c r="AD41" i="15"/>
  <c r="AD21" i="15"/>
  <c r="AD63" i="15"/>
  <c r="AD14" i="15"/>
  <c r="AD78" i="15"/>
  <c r="AD48" i="15"/>
  <c r="AD29" i="15"/>
  <c r="AD60" i="15"/>
  <c r="AD71" i="15"/>
  <c r="AD31" i="15"/>
  <c r="AG183" i="8"/>
  <c r="AG268" i="5"/>
  <c r="X79" i="5"/>
  <c r="X80" i="5" s="1"/>
  <c r="X289" i="5"/>
  <c r="X11" i="9" s="1"/>
  <c r="X33" i="9"/>
  <c r="X31" i="9" s="1"/>
  <c r="X35" i="9" s="1"/>
  <c r="AH273" i="5"/>
  <c r="AH188" i="8"/>
  <c r="AG184" i="8"/>
  <c r="AG269" i="5"/>
  <c r="AF10" i="9"/>
  <c r="AF175" i="5"/>
  <c r="AF302" i="5"/>
  <c r="AF211" i="5" s="1"/>
  <c r="AF110" i="8"/>
  <c r="AF207" i="5" s="1"/>
  <c r="AG273" i="5"/>
  <c r="AG188" i="8"/>
  <c r="AG103" i="8"/>
  <c r="AG182" i="8"/>
  <c r="AG185" i="8" s="1"/>
  <c r="AG267" i="5"/>
  <c r="AH268" i="5"/>
  <c r="AH183" i="8"/>
  <c r="AG187" i="8"/>
  <c r="AG272" i="5"/>
  <c r="AG108" i="8"/>
  <c r="AG109" i="8" s="1"/>
  <c r="AD11" i="12"/>
  <c r="AD13" i="12" s="1"/>
  <c r="AD21" i="12" s="1"/>
  <c r="AH189" i="8"/>
  <c r="AH274" i="5"/>
  <c r="AF185" i="8"/>
  <c r="AF191" i="8" s="1"/>
  <c r="AG110" i="8" l="1"/>
  <c r="AG207" i="5" s="1"/>
  <c r="AG302" i="5"/>
  <c r="AG211" i="5" s="1"/>
  <c r="AG10" i="9"/>
  <c r="AG175" i="5"/>
  <c r="AF96" i="13"/>
  <c r="AF66" i="13"/>
  <c r="AF95" i="13"/>
  <c r="AF100" i="13"/>
  <c r="AF47" i="13"/>
  <c r="AF15" i="13"/>
  <c r="AF68" i="13"/>
  <c r="AF94" i="13"/>
  <c r="AF91" i="13"/>
  <c r="AF42" i="13"/>
  <c r="AF16" i="13"/>
  <c r="AF70" i="13"/>
  <c r="AF41" i="13"/>
  <c r="AF72" i="13"/>
  <c r="AF43" i="13"/>
  <c r="AF74" i="13"/>
  <c r="AF46" i="13"/>
  <c r="AF48" i="13"/>
  <c r="AF71" i="13"/>
  <c r="AF92" i="13"/>
  <c r="AF40" i="13"/>
  <c r="AF17" i="13"/>
  <c r="AF50" i="13"/>
  <c r="AF21" i="13"/>
  <c r="AF93" i="13"/>
  <c r="AF25" i="13"/>
  <c r="AF18" i="13"/>
  <c r="AF44" i="13"/>
  <c r="AF69" i="13"/>
  <c r="AF22" i="13"/>
  <c r="AF19" i="13"/>
  <c r="AF97" i="13"/>
  <c r="AF49" i="13"/>
  <c r="AF73" i="13"/>
  <c r="AF24" i="13"/>
  <c r="AF67" i="13"/>
  <c r="AF65" i="13"/>
  <c r="AF20" i="13"/>
  <c r="AF75" i="13"/>
  <c r="AF23" i="13"/>
  <c r="AF98" i="13"/>
  <c r="AF90" i="13"/>
  <c r="AF45" i="13"/>
  <c r="AF99" i="13"/>
  <c r="AH10" i="9"/>
  <c r="AH110" i="8"/>
  <c r="AH207" i="5" s="1"/>
  <c r="AH175" i="5"/>
  <c r="AH302" i="5"/>
  <c r="AH211" i="5" s="1"/>
  <c r="AG190" i="8"/>
  <c r="AG191" i="8"/>
  <c r="AH185" i="8"/>
  <c r="X297" i="5"/>
  <c r="X296" i="5" s="1"/>
  <c r="Y78" i="5"/>
  <c r="AE11" i="12"/>
  <c r="AE13" i="12" s="1"/>
  <c r="AE21" i="12" s="1"/>
  <c r="AF188" i="5"/>
  <c r="AF190" i="5" s="1"/>
  <c r="AF194" i="5" s="1"/>
  <c r="AF192" i="8"/>
  <c r="AF32" i="9"/>
  <c r="AF238" i="5"/>
  <c r="AF240" i="5" s="1"/>
  <c r="AE59" i="15"/>
  <c r="AE60" i="15"/>
  <c r="AE42" i="15"/>
  <c r="AE33" i="15"/>
  <c r="AE26" i="15"/>
  <c r="AE30" i="15"/>
  <c r="AE22" i="15"/>
  <c r="AE15" i="15"/>
  <c r="AE77" i="15"/>
  <c r="AE70" i="15"/>
  <c r="AE62" i="15"/>
  <c r="AE55" i="15"/>
  <c r="AE47" i="15"/>
  <c r="AE40" i="15"/>
  <c r="AE32" i="15"/>
  <c r="AE44" i="15"/>
  <c r="AE28" i="15"/>
  <c r="AE13" i="15"/>
  <c r="AE68" i="15"/>
  <c r="AE64" i="15"/>
  <c r="AE57" i="15"/>
  <c r="AE45" i="15"/>
  <c r="AE46" i="15"/>
  <c r="AE43" i="15"/>
  <c r="AE34" i="15"/>
  <c r="AE27" i="15"/>
  <c r="AE19" i="15"/>
  <c r="AE12" i="15"/>
  <c r="AE16" i="15"/>
  <c r="AE78" i="15"/>
  <c r="AE71" i="15"/>
  <c r="AE63" i="15"/>
  <c r="AE56" i="15"/>
  <c r="AE48" i="15"/>
  <c r="AE17" i="15"/>
  <c r="AE18" i="15"/>
  <c r="AE35" i="15"/>
  <c r="AE20" i="15"/>
  <c r="AE75" i="15"/>
  <c r="AE72" i="15"/>
  <c r="AE49" i="15"/>
  <c r="AE41" i="15"/>
  <c r="AE21" i="15"/>
  <c r="AE61" i="15"/>
  <c r="AE36" i="15"/>
  <c r="AE58" i="15"/>
  <c r="AE29" i="15"/>
  <c r="AE50" i="15"/>
  <c r="AE31" i="15"/>
  <c r="AE14" i="15"/>
  <c r="AE54" i="15"/>
  <c r="AE74" i="15"/>
  <c r="AE76" i="15"/>
  <c r="AE73" i="15"/>
  <c r="AE69" i="15"/>
  <c r="AH190" i="8"/>
  <c r="AF73" i="15" l="1"/>
  <c r="AF74" i="15"/>
  <c r="AF76" i="15"/>
  <c r="AF69" i="15"/>
  <c r="AF61" i="15"/>
  <c r="AF54" i="15"/>
  <c r="AF58" i="15"/>
  <c r="AF50" i="15"/>
  <c r="AF18" i="15"/>
  <c r="AF44" i="15"/>
  <c r="AF36" i="15"/>
  <c r="AF29" i="15"/>
  <c r="AF21" i="15"/>
  <c r="AF14" i="15"/>
  <c r="AF45" i="15"/>
  <c r="AF71" i="15"/>
  <c r="AF56" i="15"/>
  <c r="AF32" i="15"/>
  <c r="AF34" i="15"/>
  <c r="AF19" i="15"/>
  <c r="AF16" i="15"/>
  <c r="AF60" i="15"/>
  <c r="AF59" i="15"/>
  <c r="AF77" i="15"/>
  <c r="AF70" i="15"/>
  <c r="AF62" i="15"/>
  <c r="AF55" i="15"/>
  <c r="AF47" i="15"/>
  <c r="AF40" i="15"/>
  <c r="AF41" i="15"/>
  <c r="AF33" i="15"/>
  <c r="AF26" i="15"/>
  <c r="AF30" i="15"/>
  <c r="AF22" i="15"/>
  <c r="AF15" i="15"/>
  <c r="AF46" i="15"/>
  <c r="AF78" i="15"/>
  <c r="AF63" i="15"/>
  <c r="AF48" i="15"/>
  <c r="AF42" i="15"/>
  <c r="AF27" i="15"/>
  <c r="AF12" i="15"/>
  <c r="AF31" i="15"/>
  <c r="AF64" i="15"/>
  <c r="AF43" i="15"/>
  <c r="AF13" i="15"/>
  <c r="AF49" i="15"/>
  <c r="AF17" i="15"/>
  <c r="AF75" i="15"/>
  <c r="AF57" i="15"/>
  <c r="AF35" i="15"/>
  <c r="AF68" i="15"/>
  <c r="AF28" i="15"/>
  <c r="AF72" i="15"/>
  <c r="AF20" i="15"/>
  <c r="AG238" i="5"/>
  <c r="AG32" i="9"/>
  <c r="AG188" i="5"/>
  <c r="AG192" i="8"/>
  <c r="B120" i="5"/>
  <c r="D15" i="7" s="1"/>
  <c r="AF11" i="12"/>
  <c r="AF13" i="12" s="1"/>
  <c r="AF21" i="12" s="1"/>
  <c r="AG90" i="13"/>
  <c r="AG99" i="13"/>
  <c r="AG67" i="13"/>
  <c r="AG25" i="13"/>
  <c r="AG44" i="13"/>
  <c r="AG41" i="13"/>
  <c r="AG69" i="13"/>
  <c r="AG72" i="13"/>
  <c r="AG22" i="13"/>
  <c r="AG45" i="13"/>
  <c r="AG68" i="13"/>
  <c r="AG21" i="13"/>
  <c r="AG42" i="13"/>
  <c r="AG66" i="13"/>
  <c r="AG100" i="13"/>
  <c r="AG15" i="13"/>
  <c r="AG50" i="13"/>
  <c r="AG94" i="13"/>
  <c r="AG91" i="13"/>
  <c r="AG49" i="13"/>
  <c r="AG16" i="13"/>
  <c r="AG73" i="13"/>
  <c r="AG20" i="13"/>
  <c r="AG98" i="13"/>
  <c r="AG65" i="13"/>
  <c r="AG24" i="13"/>
  <c r="AG96" i="13"/>
  <c r="AG43" i="13"/>
  <c r="AG93" i="13"/>
  <c r="AG18" i="13"/>
  <c r="AG95" i="13"/>
  <c r="AG47" i="13"/>
  <c r="AG19" i="13"/>
  <c r="AG23" i="13"/>
  <c r="AG92" i="13"/>
  <c r="AG97" i="13"/>
  <c r="AG17" i="13"/>
  <c r="AG74" i="13"/>
  <c r="AG75" i="13"/>
  <c r="AG70" i="13"/>
  <c r="AG46" i="13"/>
  <c r="AG40" i="13"/>
  <c r="AG48" i="13"/>
  <c r="AG71" i="13"/>
  <c r="Y289" i="5"/>
  <c r="Y11" i="9" s="1"/>
  <c r="Y33" i="9"/>
  <c r="Y31" i="9" s="1"/>
  <c r="Y35" i="9" s="1"/>
  <c r="Y79" i="5"/>
  <c r="Y80" i="5" s="1"/>
  <c r="AH191" i="8"/>
  <c r="Z78" i="5" l="1"/>
  <c r="Y297" i="5"/>
  <c r="Y296" i="5" s="1"/>
  <c r="AG78" i="15"/>
  <c r="AG71" i="15"/>
  <c r="AG63" i="15"/>
  <c r="AG56" i="15"/>
  <c r="AG48" i="15"/>
  <c r="AG41" i="15"/>
  <c r="AG73" i="15"/>
  <c r="AG34" i="15"/>
  <c r="AG27" i="15"/>
  <c r="AG19" i="15"/>
  <c r="AG12" i="15"/>
  <c r="AG16" i="15"/>
  <c r="AG74" i="15"/>
  <c r="AG76" i="15"/>
  <c r="AG69" i="15"/>
  <c r="AG54" i="15"/>
  <c r="AG50" i="15"/>
  <c r="AG46" i="15"/>
  <c r="AG29" i="15"/>
  <c r="AG14" i="15"/>
  <c r="AG45" i="15"/>
  <c r="AG75" i="15"/>
  <c r="AG68" i="15"/>
  <c r="AG72" i="15"/>
  <c r="AG64" i="15"/>
  <c r="AG57" i="15"/>
  <c r="AG49" i="15"/>
  <c r="AG42" i="15"/>
  <c r="AG60" i="15"/>
  <c r="AG35" i="15"/>
  <c r="AG28" i="15"/>
  <c r="AG20" i="15"/>
  <c r="AG13" i="15"/>
  <c r="AG32" i="15"/>
  <c r="AG59" i="15"/>
  <c r="AG61" i="15"/>
  <c r="AG58" i="15"/>
  <c r="AG43" i="15"/>
  <c r="AG36" i="15"/>
  <c r="AG21" i="15"/>
  <c r="AG17" i="15"/>
  <c r="AG62" i="15"/>
  <c r="AG44" i="15"/>
  <c r="AG22" i="15"/>
  <c r="AG47" i="15"/>
  <c r="AG18" i="15"/>
  <c r="AG40" i="15"/>
  <c r="AG31" i="15"/>
  <c r="AG55" i="15"/>
  <c r="AG33" i="15"/>
  <c r="AG15" i="15"/>
  <c r="AG77" i="15"/>
  <c r="AG26" i="15"/>
  <c r="AG70" i="15"/>
  <c r="AG30" i="15"/>
  <c r="AH192" i="8"/>
  <c r="AH188" i="5"/>
  <c r="AH190" i="5" s="1"/>
  <c r="AH194" i="5" s="1"/>
  <c r="AH238" i="5"/>
  <c r="AH240" i="5" s="1"/>
  <c r="AH32" i="9"/>
  <c r="AG11" i="12"/>
  <c r="B119" i="5"/>
  <c r="AI20" i="13" l="1"/>
  <c r="AI69" i="13"/>
  <c r="AI72" i="13"/>
  <c r="AI22" i="13"/>
  <c r="AI96" i="13"/>
  <c r="AI50" i="13"/>
  <c r="AI21" i="13"/>
  <c r="AI93" i="13"/>
  <c r="AI42" i="13"/>
  <c r="AI18" i="13"/>
  <c r="AI66" i="13"/>
  <c r="AI100" i="13"/>
  <c r="AI15" i="13"/>
  <c r="AI45" i="13"/>
  <c r="AI67" i="13"/>
  <c r="AI44" i="13"/>
  <c r="AI70" i="13"/>
  <c r="AI98" i="13"/>
  <c r="AI65" i="13"/>
  <c r="AI24" i="13"/>
  <c r="AI19" i="13"/>
  <c r="AI43" i="13"/>
  <c r="AI97" i="13"/>
  <c r="AI74" i="13"/>
  <c r="AI23" i="13"/>
  <c r="AI46" i="13"/>
  <c r="AI41" i="13"/>
  <c r="AI95" i="13"/>
  <c r="AI47" i="13"/>
  <c r="AI75" i="13"/>
  <c r="AI99" i="13"/>
  <c r="AI25" i="13"/>
  <c r="AI48" i="13"/>
  <c r="AI92" i="13"/>
  <c r="AI94" i="13"/>
  <c r="AI73" i="13"/>
  <c r="AI17" i="13"/>
  <c r="AI68" i="13"/>
  <c r="AI40" i="13"/>
  <c r="AI91" i="13"/>
  <c r="AI90" i="13"/>
  <c r="AI49" i="13"/>
  <c r="AI71" i="13"/>
  <c r="AI16" i="13"/>
  <c r="B30" i="12"/>
  <c r="AH11" i="12"/>
  <c r="AH13" i="12" s="1"/>
  <c r="AH21" i="12" s="1"/>
  <c r="Z79" i="5"/>
  <c r="Z80" i="5" s="1"/>
  <c r="Z33" i="9"/>
  <c r="Z31" i="9" s="1"/>
  <c r="Z35" i="9" s="1"/>
  <c r="Z289" i="5"/>
  <c r="Z11" i="9" s="1"/>
  <c r="AA78" i="5" l="1"/>
  <c r="Z297" i="5"/>
  <c r="Z296" i="5" s="1"/>
  <c r="AI59" i="15"/>
  <c r="AI42" i="15"/>
  <c r="AI75" i="15"/>
  <c r="AI68" i="15"/>
  <c r="AI72" i="15"/>
  <c r="AI64" i="15"/>
  <c r="AI57" i="15"/>
  <c r="AI49" i="15"/>
  <c r="AI73" i="15"/>
  <c r="AI34" i="15"/>
  <c r="AI27" i="15"/>
  <c r="AI19" i="15"/>
  <c r="AI12" i="15"/>
  <c r="AI16" i="15"/>
  <c r="AI44" i="15"/>
  <c r="AI70" i="15"/>
  <c r="AI55" i="15"/>
  <c r="AI40" i="15"/>
  <c r="AI36" i="15"/>
  <c r="AI21" i="15"/>
  <c r="AI45" i="15"/>
  <c r="AI43" i="15"/>
  <c r="AI76" i="15"/>
  <c r="AI69" i="15"/>
  <c r="AI61" i="15"/>
  <c r="AI54" i="15"/>
  <c r="AI58" i="15"/>
  <c r="AI50" i="15"/>
  <c r="AI60" i="15"/>
  <c r="AI35" i="15"/>
  <c r="AI28" i="15"/>
  <c r="AI20" i="15"/>
  <c r="AI13" i="15"/>
  <c r="AI17" i="15"/>
  <c r="AI32" i="15"/>
  <c r="AI77" i="15"/>
  <c r="AI62" i="15"/>
  <c r="AI47" i="15"/>
  <c r="AI46" i="15"/>
  <c r="AI29" i="15"/>
  <c r="AI14" i="15"/>
  <c r="AI78" i="15"/>
  <c r="AI48" i="15"/>
  <c r="AI30" i="15"/>
  <c r="AI41" i="15"/>
  <c r="AI33" i="15"/>
  <c r="AI15" i="15"/>
  <c r="AI18" i="15"/>
  <c r="AI26" i="15"/>
  <c r="AI74" i="15"/>
  <c r="AI71" i="15"/>
  <c r="AI31" i="15"/>
  <c r="AI22" i="15"/>
  <c r="AI63" i="15"/>
  <c r="AI56" i="15"/>
  <c r="AA289" i="5" l="1"/>
  <c r="AA11" i="9" s="1"/>
  <c r="AA33" i="9"/>
  <c r="AA31" i="9" s="1"/>
  <c r="AA35" i="9" s="1"/>
  <c r="AA79" i="5"/>
  <c r="AA80" i="5" s="1"/>
  <c r="AB78" i="5" l="1"/>
  <c r="AA297" i="5"/>
  <c r="AA296" i="5" s="1"/>
  <c r="AB289" i="5" l="1"/>
  <c r="AB11" i="9" s="1"/>
  <c r="AB79" i="5"/>
  <c r="AB80" i="5" s="1"/>
  <c r="AB33" i="9"/>
  <c r="AB31" i="9" s="1"/>
  <c r="AB35" i="9" s="1"/>
  <c r="AC78" i="5" l="1"/>
  <c r="AB297" i="5"/>
  <c r="AB296" i="5" s="1"/>
  <c r="AC289" i="5" l="1"/>
  <c r="AC11" i="9" s="1"/>
  <c r="AC79" i="5"/>
  <c r="AC80" i="5" s="1"/>
  <c r="AC33" i="9"/>
  <c r="AC31" i="9" s="1"/>
  <c r="AC35" i="9" s="1"/>
  <c r="AD78" i="5" l="1"/>
  <c r="AC297" i="5"/>
  <c r="AC296" i="5" s="1"/>
  <c r="AD79" i="5" l="1"/>
  <c r="AD80" i="5" s="1"/>
  <c r="AD33" i="9"/>
  <c r="AD31" i="9" s="1"/>
  <c r="AD35" i="9" s="1"/>
  <c r="AD289" i="5"/>
  <c r="AD11" i="9" s="1"/>
  <c r="AE78" i="5" l="1"/>
  <c r="AD297" i="5"/>
  <c r="AD296" i="5" s="1"/>
  <c r="AE289" i="5" l="1"/>
  <c r="AE11" i="9" s="1"/>
  <c r="AE33" i="9"/>
  <c r="AE31" i="9" s="1"/>
  <c r="AE35" i="9" s="1"/>
  <c r="AE79" i="5"/>
  <c r="AE80" i="5" s="1"/>
  <c r="AF78" i="5" l="1"/>
  <c r="AE297" i="5"/>
  <c r="AE296" i="5" s="1"/>
  <c r="AF289" i="5" l="1"/>
  <c r="AF11" i="9" s="1"/>
  <c r="AF79" i="5"/>
  <c r="AF80" i="5" s="1"/>
  <c r="AF33" i="9"/>
  <c r="AF31" i="9" s="1"/>
  <c r="AF35" i="9" s="1"/>
  <c r="AG78" i="5" l="1"/>
  <c r="AF297" i="5"/>
  <c r="AF296" i="5" s="1"/>
  <c r="AG289" i="5" l="1"/>
  <c r="AG11" i="9" s="1"/>
  <c r="AG33" i="9"/>
  <c r="AG31" i="9" s="1"/>
  <c r="AG35" i="9" s="1"/>
  <c r="AG79" i="5"/>
  <c r="AG80" i="5" s="1"/>
  <c r="AH78" i="5" l="1"/>
  <c r="AG297" i="5"/>
  <c r="AG296" i="5" s="1"/>
  <c r="AG124" i="5"/>
  <c r="AG12" i="12" l="1"/>
  <c r="AG239" i="5"/>
  <c r="AG240" i="5" s="1"/>
  <c r="AG189" i="5"/>
  <c r="AG190" i="5" s="1"/>
  <c r="B126" i="5"/>
  <c r="D14" i="7" s="1"/>
  <c r="D17" i="7" s="1"/>
  <c r="D18" i="7" s="1"/>
  <c r="D19" i="7" s="1"/>
  <c r="B125" i="5"/>
  <c r="C13" i="7" s="1"/>
  <c r="AH33" i="9"/>
  <c r="AH31" i="9" s="1"/>
  <c r="AH35" i="9" s="1"/>
  <c r="AH79" i="5"/>
  <c r="AH80" i="5" s="1"/>
  <c r="AH297" i="5" s="1"/>
  <c r="AH296" i="5" s="1"/>
  <c r="AH289" i="5"/>
  <c r="AH11" i="9" s="1"/>
  <c r="C29" i="7" l="1"/>
  <c r="E29" i="7" s="1"/>
  <c r="C41" i="7"/>
  <c r="C46" i="7"/>
  <c r="D46" i="7" s="1"/>
  <c r="C35" i="7"/>
  <c r="E35" i="7" s="1"/>
  <c r="AG194" i="5"/>
  <c r="B122" i="5"/>
  <c r="B31" i="12"/>
  <c r="AG13" i="12"/>
  <c r="AH45" i="13" l="1"/>
  <c r="AH50" i="13"/>
  <c r="AH97" i="13"/>
  <c r="AH74" i="13"/>
  <c r="AH23" i="13"/>
  <c r="AH96" i="13"/>
  <c r="AH66" i="13"/>
  <c r="AH95" i="13"/>
  <c r="AH100" i="13"/>
  <c r="AH15" i="13"/>
  <c r="AH47" i="13"/>
  <c r="AH75" i="13"/>
  <c r="AH49" i="13"/>
  <c r="AH44" i="13"/>
  <c r="AH69" i="13"/>
  <c r="AH24" i="13"/>
  <c r="AH19" i="13"/>
  <c r="AH43" i="13"/>
  <c r="AH99" i="13"/>
  <c r="AH67" i="13"/>
  <c r="AH25" i="13"/>
  <c r="AH46" i="13"/>
  <c r="AH48" i="13"/>
  <c r="AH71" i="13"/>
  <c r="AH92" i="13"/>
  <c r="AH40" i="13"/>
  <c r="AH22" i="13"/>
  <c r="AH90" i="13"/>
  <c r="AH94" i="13"/>
  <c r="AH91" i="13"/>
  <c r="AH16" i="13"/>
  <c r="AH41" i="13"/>
  <c r="AH72" i="13"/>
  <c r="AH20" i="13"/>
  <c r="AH42" i="13"/>
  <c r="AH98" i="13"/>
  <c r="AH21" i="13"/>
  <c r="AH73" i="13"/>
  <c r="AH17" i="13"/>
  <c r="AH93" i="13"/>
  <c r="AH68" i="13"/>
  <c r="AH18" i="13"/>
  <c r="AH65" i="13"/>
  <c r="AH70" i="13"/>
  <c r="M195" i="5"/>
  <c r="C23" i="7" s="1"/>
  <c r="E7" i="13"/>
  <c r="M196" i="5"/>
  <c r="C24" i="7" s="1"/>
  <c r="D7" i="13"/>
  <c r="F7" i="13"/>
  <c r="C8" i="13"/>
  <c r="C7" i="13"/>
  <c r="AG21" i="12"/>
  <c r="C24" i="12"/>
  <c r="C31" i="12"/>
  <c r="B32" i="12"/>
  <c r="G29" i="7"/>
  <c r="F59" i="7"/>
  <c r="F56" i="7" s="1"/>
  <c r="D41" i="7"/>
  <c r="E55" i="7" s="1"/>
  <c r="G35" i="7"/>
  <c r="D139" i="13" l="1"/>
  <c r="C139" i="13"/>
  <c r="D117" i="13"/>
  <c r="C117" i="13"/>
  <c r="C129" i="13"/>
  <c r="D129" i="13"/>
  <c r="D116" i="13"/>
  <c r="C116" i="13"/>
  <c r="C122" i="13"/>
  <c r="D122" i="13"/>
  <c r="C135" i="13"/>
  <c r="D135" i="13"/>
  <c r="D160" i="13"/>
  <c r="C160" i="13"/>
  <c r="C143" i="13"/>
  <c r="H143" i="13" s="1"/>
  <c r="D143" i="13"/>
  <c r="C134" i="13"/>
  <c r="D134" i="13"/>
  <c r="D140" i="13"/>
  <c r="C140" i="13"/>
  <c r="H140" i="13" s="1"/>
  <c r="C158" i="13"/>
  <c r="D158" i="13"/>
  <c r="D118" i="13"/>
  <c r="C118" i="13"/>
  <c r="D147" i="13"/>
  <c r="C147" i="13"/>
  <c r="D120" i="13"/>
  <c r="C120" i="13"/>
  <c r="H120" i="13" s="1"/>
  <c r="C152" i="13"/>
  <c r="D152" i="13"/>
  <c r="D127" i="13"/>
  <c r="C127" i="13"/>
  <c r="H127" i="13" s="1"/>
  <c r="D133" i="13"/>
  <c r="C133" i="13"/>
  <c r="D130" i="13"/>
  <c r="C130" i="13"/>
  <c r="H130" i="13" s="1"/>
  <c r="C131" i="13"/>
  <c r="D131" i="13"/>
  <c r="C115" i="13"/>
  <c r="D115" i="13"/>
  <c r="C157" i="13"/>
  <c r="D157" i="13"/>
  <c r="D137" i="13"/>
  <c r="C137" i="13"/>
  <c r="H137" i="13" s="1"/>
  <c r="F35" i="7"/>
  <c r="D56" i="7"/>
  <c r="B10" i="4"/>
  <c r="F29" i="7"/>
  <c r="F31" i="7"/>
  <c r="F46" i="7"/>
  <c r="G46" i="7" s="1"/>
  <c r="E46" i="7" s="1"/>
  <c r="C29" i="12"/>
  <c r="C32" i="12"/>
  <c r="C28" i="12"/>
  <c r="C27" i="12"/>
  <c r="C30" i="12"/>
  <c r="AH75" i="15"/>
  <c r="AH68" i="15"/>
  <c r="AH72" i="15"/>
  <c r="AH64" i="15"/>
  <c r="AH57" i="15"/>
  <c r="AH49" i="15"/>
  <c r="AH59" i="15"/>
  <c r="AH60" i="15"/>
  <c r="AH35" i="15"/>
  <c r="AH28" i="15"/>
  <c r="AH20" i="15"/>
  <c r="AH13" i="15"/>
  <c r="AH32" i="15"/>
  <c r="AH43" i="15"/>
  <c r="AH70" i="15"/>
  <c r="AH55" i="15"/>
  <c r="AH40" i="15"/>
  <c r="AH33" i="15"/>
  <c r="AH30" i="15"/>
  <c r="AH15" i="15"/>
  <c r="AH18" i="15"/>
  <c r="AH76" i="15"/>
  <c r="AH69" i="15"/>
  <c r="AH61" i="15"/>
  <c r="AH54" i="15"/>
  <c r="AH58" i="15"/>
  <c r="AH50" i="15"/>
  <c r="AH45" i="15"/>
  <c r="AH46" i="15"/>
  <c r="AH36" i="15"/>
  <c r="AH29" i="15"/>
  <c r="AH21" i="15"/>
  <c r="AH14" i="15"/>
  <c r="AH17" i="15"/>
  <c r="AH44" i="15"/>
  <c r="AH77" i="15"/>
  <c r="AH62" i="15"/>
  <c r="AH47" i="15"/>
  <c r="AH31" i="15"/>
  <c r="AH26" i="15"/>
  <c r="AH22" i="15"/>
  <c r="AH41" i="15"/>
  <c r="AH56" i="15"/>
  <c r="AH34" i="15"/>
  <c r="AH16" i="15"/>
  <c r="AH71" i="15"/>
  <c r="AH19" i="15"/>
  <c r="AH63" i="15"/>
  <c r="AH73" i="15"/>
  <c r="AH78" i="15"/>
  <c r="AH48" i="15"/>
  <c r="AH27" i="15"/>
  <c r="AH42" i="15"/>
  <c r="AH74" i="15"/>
  <c r="AH12" i="15"/>
  <c r="F7" i="15"/>
  <c r="D7" i="15"/>
  <c r="C7" i="15"/>
  <c r="C8" i="15"/>
  <c r="C23" i="12"/>
  <c r="E7" i="15"/>
  <c r="C22" i="12"/>
  <c r="C144" i="13"/>
  <c r="H144" i="13" s="1"/>
  <c r="D144" i="13"/>
  <c r="C154" i="13"/>
  <c r="D154" i="13"/>
  <c r="C159" i="13"/>
  <c r="D159" i="13"/>
  <c r="C128" i="13"/>
  <c r="H128" i="13" s="1"/>
  <c r="D128" i="13"/>
  <c r="C151" i="13"/>
  <c r="D151" i="13"/>
  <c r="C145" i="13"/>
  <c r="H145" i="13" s="1"/>
  <c r="D145" i="13"/>
  <c r="C141" i="13"/>
  <c r="H141" i="13" s="1"/>
  <c r="D141" i="13"/>
  <c r="D124" i="13"/>
  <c r="C124" i="13"/>
  <c r="D149" i="13"/>
  <c r="C149" i="13"/>
  <c r="H149" i="13" s="1"/>
  <c r="C156" i="13"/>
  <c r="H156" i="13" s="1"/>
  <c r="D156" i="13"/>
  <c r="D148" i="13"/>
  <c r="C148" i="13"/>
  <c r="H148" i="13" s="1"/>
  <c r="F55" i="7"/>
  <c r="E57" i="7"/>
  <c r="C142" i="13"/>
  <c r="H142" i="13" s="1"/>
  <c r="D142" i="13"/>
  <c r="D121" i="13"/>
  <c r="C121" i="13"/>
  <c r="C146" i="13"/>
  <c r="H146" i="13" s="1"/>
  <c r="D146" i="13"/>
  <c r="D155" i="13"/>
  <c r="C155" i="13"/>
  <c r="C153" i="13"/>
  <c r="D153" i="13"/>
  <c r="D125" i="13"/>
  <c r="C125" i="13"/>
  <c r="C119" i="13"/>
  <c r="D119" i="13"/>
  <c r="D136" i="13"/>
  <c r="C136" i="13"/>
  <c r="D161" i="13"/>
  <c r="C161" i="13"/>
  <c r="C123" i="13"/>
  <c r="H123" i="13" s="1"/>
  <c r="D123" i="13"/>
  <c r="D132" i="13"/>
  <c r="C132" i="13"/>
  <c r="H132" i="13" s="1"/>
  <c r="H154" i="13" l="1"/>
  <c r="D91" i="15"/>
  <c r="C91" i="15"/>
  <c r="F91" i="15" s="1"/>
  <c r="H118" i="13"/>
  <c r="H116" i="13"/>
  <c r="D94" i="15"/>
  <c r="C94" i="15"/>
  <c r="F94" i="15" s="1"/>
  <c r="D101" i="15"/>
  <c r="C101" i="15"/>
  <c r="C138" i="15"/>
  <c r="D138" i="15"/>
  <c r="D110" i="15"/>
  <c r="C110" i="15"/>
  <c r="F110" i="15" s="1"/>
  <c r="C84" i="15"/>
  <c r="D84" i="15"/>
  <c r="C118" i="15"/>
  <c r="F118" i="15" s="1"/>
  <c r="D118" i="15"/>
  <c r="C123" i="15"/>
  <c r="D123" i="15"/>
  <c r="C127" i="15"/>
  <c r="F127" i="15" s="1"/>
  <c r="D127" i="15"/>
  <c r="H135" i="13"/>
  <c r="H119" i="13"/>
  <c r="H153" i="13"/>
  <c r="H151" i="13"/>
  <c r="H159" i="13"/>
  <c r="C81" i="15"/>
  <c r="D81" i="15"/>
  <c r="D113" i="15"/>
  <c r="C113" i="15"/>
  <c r="F113" i="15" s="1"/>
  <c r="D88" i="15"/>
  <c r="C88" i="15"/>
  <c r="C119" i="15"/>
  <c r="F119" i="15" s="1"/>
  <c r="D119" i="15"/>
  <c r="D98" i="15"/>
  <c r="C98" i="15"/>
  <c r="F98" i="15" s="1"/>
  <c r="D109" i="15"/>
  <c r="C109" i="15"/>
  <c r="F109" i="15" s="1"/>
  <c r="D96" i="15"/>
  <c r="C96" i="15"/>
  <c r="F96" i="15" s="1"/>
  <c r="D115" i="15"/>
  <c r="C115" i="15"/>
  <c r="F115" i="15" s="1"/>
  <c r="C130" i="15"/>
  <c r="D130" i="15"/>
  <c r="C97" i="15"/>
  <c r="F97" i="15" s="1"/>
  <c r="D97" i="15"/>
  <c r="D131" i="15"/>
  <c r="C131" i="15"/>
  <c r="C89" i="15"/>
  <c r="F89" i="15" s="1"/>
  <c r="D89" i="15"/>
  <c r="D122" i="15"/>
  <c r="C122" i="15"/>
  <c r="F122" i="15" s="1"/>
  <c r="D133" i="15"/>
  <c r="C133" i="15"/>
  <c r="F133" i="15" s="1"/>
  <c r="C56" i="7"/>
  <c r="D57" i="7"/>
  <c r="H133" i="13"/>
  <c r="H147" i="13"/>
  <c r="H160" i="13"/>
  <c r="H139" i="13"/>
  <c r="D107" i="15"/>
  <c r="C107" i="15"/>
  <c r="F107" i="15" s="1"/>
  <c r="C134" i="15"/>
  <c r="F134" i="15" s="1"/>
  <c r="D134" i="15"/>
  <c r="D85" i="15"/>
  <c r="C85" i="15"/>
  <c r="F85" i="15" s="1"/>
  <c r="D125" i="15"/>
  <c r="C125" i="15"/>
  <c r="F125" i="15" s="1"/>
  <c r="C83" i="15"/>
  <c r="F83" i="15" s="1"/>
  <c r="D83" i="15"/>
  <c r="D111" i="15"/>
  <c r="C111" i="15"/>
  <c r="F111" i="15" s="1"/>
  <c r="D117" i="15"/>
  <c r="C117" i="15"/>
  <c r="F117" i="15" s="1"/>
  <c r="C87" i="15"/>
  <c r="D87" i="15"/>
  <c r="C105" i="15"/>
  <c r="F105" i="15" s="1"/>
  <c r="D105" i="15"/>
  <c r="C99" i="15"/>
  <c r="F99" i="15" s="1"/>
  <c r="D99" i="15"/>
  <c r="D102" i="15"/>
  <c r="C102" i="15"/>
  <c r="F102" i="15" s="1"/>
  <c r="C120" i="15"/>
  <c r="F120" i="15" s="1"/>
  <c r="D120" i="15"/>
  <c r="D136" i="15"/>
  <c r="C136" i="15"/>
  <c r="F136" i="15" s="1"/>
  <c r="AC112" i="13"/>
  <c r="V112" i="13"/>
  <c r="AD112" i="13"/>
  <c r="W112" i="13"/>
  <c r="R112" i="13"/>
  <c r="AG112" i="13"/>
  <c r="AE112" i="13"/>
  <c r="P112" i="13"/>
  <c r="X112" i="13"/>
  <c r="AF112" i="13"/>
  <c r="Z112" i="13"/>
  <c r="AH112" i="13"/>
  <c r="S112" i="13"/>
  <c r="Q112" i="13"/>
  <c r="O112" i="13"/>
  <c r="T112" i="13"/>
  <c r="AI112" i="13"/>
  <c r="AB112" i="13"/>
  <c r="AA112" i="13"/>
  <c r="Y112" i="13"/>
  <c r="U112" i="13"/>
  <c r="H117" i="13"/>
  <c r="H161" i="13"/>
  <c r="C126" i="15"/>
  <c r="F126" i="15" s="1"/>
  <c r="D126" i="15"/>
  <c r="D93" i="15"/>
  <c r="C93" i="15"/>
  <c r="F93" i="15" s="1"/>
  <c r="D90" i="15"/>
  <c r="C90" i="15"/>
  <c r="D124" i="15"/>
  <c r="C124" i="15"/>
  <c r="F124" i="15" s="1"/>
  <c r="D82" i="15"/>
  <c r="C82" i="15"/>
  <c r="H115" i="13"/>
  <c r="H136" i="13"/>
  <c r="H125" i="13"/>
  <c r="H155" i="13"/>
  <c r="H121" i="13"/>
  <c r="F57" i="7"/>
  <c r="H124" i="13"/>
  <c r="C135" i="15"/>
  <c r="F135" i="15" s="1"/>
  <c r="D135" i="15"/>
  <c r="C139" i="15"/>
  <c r="F139" i="15" s="1"/>
  <c r="D139" i="15"/>
  <c r="C132" i="15"/>
  <c r="F132" i="15" s="1"/>
  <c r="D132" i="15"/>
  <c r="C106" i="15"/>
  <c r="F106" i="15" s="1"/>
  <c r="D106" i="15"/>
  <c r="D112" i="15"/>
  <c r="C112" i="15"/>
  <c r="F112" i="15" s="1"/>
  <c r="D86" i="15"/>
  <c r="C86" i="15"/>
  <c r="F86" i="15" s="1"/>
  <c r="C103" i="15"/>
  <c r="F103" i="15" s="1"/>
  <c r="D103" i="15"/>
  <c r="D121" i="15"/>
  <c r="C121" i="15"/>
  <c r="F121" i="15" s="1"/>
  <c r="C137" i="15"/>
  <c r="F137" i="15" s="1"/>
  <c r="D137" i="15"/>
  <c r="C100" i="15"/>
  <c r="F100" i="15" s="1"/>
  <c r="D100" i="15"/>
  <c r="C108" i="15"/>
  <c r="F108" i="15" s="1"/>
  <c r="D108" i="15"/>
  <c r="C95" i="15"/>
  <c r="F95" i="15" s="1"/>
  <c r="D95" i="15"/>
  <c r="D114" i="15"/>
  <c r="C114" i="15"/>
  <c r="F114" i="15" s="1"/>
  <c r="C129" i="15"/>
  <c r="F129" i="15" s="1"/>
  <c r="D129" i="15"/>
  <c r="J204" i="1"/>
  <c r="B126" i="8"/>
  <c r="B145" i="8" s="1"/>
  <c r="B169" i="5"/>
  <c r="H157" i="13"/>
  <c r="H131" i="13"/>
  <c r="H152" i="13"/>
  <c r="H158" i="13"/>
  <c r="H134" i="13"/>
  <c r="H122" i="13"/>
  <c r="H129" i="13"/>
  <c r="P164" i="5" l="1"/>
  <c r="X164" i="5"/>
  <c r="AF164" i="5"/>
  <c r="U164" i="5"/>
  <c r="W164" i="5"/>
  <c r="AH164" i="5"/>
  <c r="L164" i="5"/>
  <c r="AB164" i="5"/>
  <c r="AC164" i="5"/>
  <c r="AE164" i="5"/>
  <c r="J164" i="5"/>
  <c r="R164" i="5"/>
  <c r="Z164" i="5"/>
  <c r="Y164" i="5"/>
  <c r="K164" i="5"/>
  <c r="AA164" i="5"/>
  <c r="T164" i="5"/>
  <c r="M164" i="5"/>
  <c r="O164" i="5"/>
  <c r="D164" i="5"/>
  <c r="F164" i="5"/>
  <c r="Q164" i="5"/>
  <c r="E164" i="5"/>
  <c r="S164" i="5"/>
  <c r="B170" i="5"/>
  <c r="N164" i="5"/>
  <c r="AG164" i="5"/>
  <c r="V164" i="5"/>
  <c r="AD164" i="5"/>
  <c r="H164" i="5"/>
  <c r="C164" i="5"/>
  <c r="G164" i="5"/>
  <c r="I164" i="5"/>
  <c r="B164" i="5"/>
  <c r="C57" i="7"/>
  <c r="D50" i="7"/>
  <c r="F131" i="15"/>
  <c r="F88" i="15"/>
  <c r="F123" i="15"/>
  <c r="F84" i="15"/>
  <c r="F138" i="15"/>
  <c r="F82" i="15"/>
  <c r="F90" i="15"/>
  <c r="F87" i="15"/>
  <c r="F130" i="15"/>
  <c r="F81" i="15"/>
  <c r="F101" i="15"/>
  <c r="C20" i="9" l="1"/>
  <c r="D112" i="13"/>
  <c r="C321" i="5"/>
  <c r="C165" i="5"/>
  <c r="C174" i="5" s="1"/>
  <c r="C176" i="5" s="1"/>
  <c r="C182" i="5" s="1"/>
  <c r="C183" i="5" s="1"/>
  <c r="AG159" i="5"/>
  <c r="AG20" i="9"/>
  <c r="AG321" i="5"/>
  <c r="O20" i="9"/>
  <c r="O159" i="5"/>
  <c r="O321" i="5"/>
  <c r="J159" i="5"/>
  <c r="J321" i="5"/>
  <c r="K112" i="13"/>
  <c r="J20" i="9"/>
  <c r="AF20" i="9"/>
  <c r="AF159" i="5"/>
  <c r="AF321" i="5"/>
  <c r="B20" i="9"/>
  <c r="C112" i="13"/>
  <c r="B321" i="5"/>
  <c r="B165" i="5"/>
  <c r="B174" i="5" s="1"/>
  <c r="B176" i="5" s="1"/>
  <c r="B182" i="5" s="1"/>
  <c r="N20" i="9"/>
  <c r="N159" i="5"/>
  <c r="N321" i="5"/>
  <c r="Q20" i="9"/>
  <c r="Q321" i="5"/>
  <c r="Q159" i="5"/>
  <c r="Y20" i="9"/>
  <c r="Y321" i="5"/>
  <c r="Y159" i="5"/>
  <c r="AH321" i="5"/>
  <c r="AH159" i="5"/>
  <c r="AH20" i="9"/>
  <c r="G50" i="7"/>
  <c r="H50" i="7" s="1"/>
  <c r="G51" i="7"/>
  <c r="H51" i="7" s="1"/>
  <c r="G52" i="7"/>
  <c r="H52" i="7" s="1"/>
  <c r="G54" i="7"/>
  <c r="H54" i="7" s="1"/>
  <c r="G53" i="7"/>
  <c r="H53" i="7" s="1"/>
  <c r="C50" i="7"/>
  <c r="B12" i="4"/>
  <c r="E54" i="7"/>
  <c r="F54" i="7" s="1"/>
  <c r="E52" i="7"/>
  <c r="F52" i="7" s="1"/>
  <c r="E51" i="7"/>
  <c r="F51" i="7" s="1"/>
  <c r="E50" i="7"/>
  <c r="F50" i="7" s="1"/>
  <c r="E53" i="7"/>
  <c r="F53" i="7" s="1"/>
  <c r="G20" i="9"/>
  <c r="H112" i="13"/>
  <c r="G321" i="5"/>
  <c r="G159" i="5"/>
  <c r="V159" i="5"/>
  <c r="V20" i="9"/>
  <c r="V321" i="5"/>
  <c r="S20" i="9"/>
  <c r="S321" i="5"/>
  <c r="S159" i="5"/>
  <c r="D20" i="9"/>
  <c r="D321" i="5"/>
  <c r="D165" i="5"/>
  <c r="D174" i="5" s="1"/>
  <c r="D176" i="5" s="1"/>
  <c r="D182" i="5" s="1"/>
  <c r="D183" i="5" s="1"/>
  <c r="E112" i="13"/>
  <c r="AA20" i="9"/>
  <c r="AA321" i="5"/>
  <c r="AA159" i="5"/>
  <c r="R20" i="9"/>
  <c r="R159" i="5"/>
  <c r="R321" i="5"/>
  <c r="AB321" i="5"/>
  <c r="AB159" i="5"/>
  <c r="AB20" i="9"/>
  <c r="U20" i="9"/>
  <c r="U321" i="5"/>
  <c r="U159" i="5"/>
  <c r="E165" i="5"/>
  <c r="E174" i="5" s="1"/>
  <c r="E176" i="5" s="1"/>
  <c r="E182" i="5" s="1"/>
  <c r="E183" i="5" s="1"/>
  <c r="E321" i="5"/>
  <c r="F112" i="13"/>
  <c r="E20" i="9"/>
  <c r="K20" i="9"/>
  <c r="L112" i="13"/>
  <c r="K321" i="5"/>
  <c r="K159" i="5"/>
  <c r="L159" i="5"/>
  <c r="M112" i="13"/>
  <c r="L20" i="9"/>
  <c r="L321" i="5"/>
  <c r="H20" i="9"/>
  <c r="I112" i="13"/>
  <c r="H321" i="5"/>
  <c r="H159" i="5"/>
  <c r="M159" i="5"/>
  <c r="M20" i="9"/>
  <c r="M321" i="5"/>
  <c r="N112" i="13"/>
  <c r="AE20" i="9"/>
  <c r="AE321" i="5"/>
  <c r="AE159" i="5"/>
  <c r="X159" i="5"/>
  <c r="X20" i="9"/>
  <c r="X321" i="5"/>
  <c r="I20" i="9"/>
  <c r="J112" i="13"/>
  <c r="I321" i="5"/>
  <c r="I159" i="5"/>
  <c r="AD321" i="5"/>
  <c r="AD20" i="9"/>
  <c r="AD159" i="5"/>
  <c r="R275" i="5"/>
  <c r="N275" i="5"/>
  <c r="AF275" i="5"/>
  <c r="AE275" i="5"/>
  <c r="V275" i="5"/>
  <c r="C275" i="5"/>
  <c r="M270" i="5"/>
  <c r="M266" i="5" s="1"/>
  <c r="X270" i="5"/>
  <c r="X266" i="5" s="1"/>
  <c r="X275" i="5"/>
  <c r="P275" i="5"/>
  <c r="O270" i="5"/>
  <c r="O266" i="5" s="1"/>
  <c r="H275" i="5"/>
  <c r="F275" i="5"/>
  <c r="F271" i="5" s="1"/>
  <c r="Z275" i="5"/>
  <c r="L270" i="5"/>
  <c r="L266" i="5" s="1"/>
  <c r="H270" i="5"/>
  <c r="H266" i="5" s="1"/>
  <c r="Z270" i="5"/>
  <c r="Z266" i="5" s="1"/>
  <c r="G270" i="5"/>
  <c r="G266" i="5" s="1"/>
  <c r="AB275" i="5"/>
  <c r="W275" i="5"/>
  <c r="AE270" i="5"/>
  <c r="AE266" i="5" s="1"/>
  <c r="S270" i="5"/>
  <c r="S266" i="5" s="1"/>
  <c r="F270" i="5"/>
  <c r="F266" i="5" s="1"/>
  <c r="F265" i="5" s="1"/>
  <c r="F287" i="5" s="1"/>
  <c r="F290" i="5" s="1"/>
  <c r="AB270" i="5"/>
  <c r="AB266" i="5" s="1"/>
  <c r="O275" i="5"/>
  <c r="V270" i="5"/>
  <c r="V266" i="5" s="1"/>
  <c r="AH275" i="5"/>
  <c r="D275" i="5"/>
  <c r="Q275" i="5"/>
  <c r="N270" i="5"/>
  <c r="N266" i="5" s="1"/>
  <c r="U270" i="5"/>
  <c r="U266" i="5" s="1"/>
  <c r="AC275" i="5"/>
  <c r="B275" i="5"/>
  <c r="E270" i="5"/>
  <c r="E266" i="5" s="1"/>
  <c r="Y270" i="5"/>
  <c r="Y266" i="5" s="1"/>
  <c r="AD275" i="5"/>
  <c r="U275" i="5"/>
  <c r="AG275" i="5"/>
  <c r="Y275" i="5"/>
  <c r="AA275" i="5"/>
  <c r="T275" i="5"/>
  <c r="B270" i="5"/>
  <c r="B266" i="5" s="1"/>
  <c r="S275" i="5"/>
  <c r="I275" i="5"/>
  <c r="T270" i="5"/>
  <c r="T266" i="5" s="1"/>
  <c r="L275" i="5"/>
  <c r="R270" i="5"/>
  <c r="R266" i="5" s="1"/>
  <c r="E275" i="5"/>
  <c r="AA270" i="5"/>
  <c r="AA266" i="5" s="1"/>
  <c r="AG270" i="5"/>
  <c r="AG266" i="5" s="1"/>
  <c r="K270" i="5"/>
  <c r="K266" i="5" s="1"/>
  <c r="K275" i="5"/>
  <c r="AD270" i="5"/>
  <c r="AD266" i="5" s="1"/>
  <c r="M275" i="5"/>
  <c r="G275" i="5"/>
  <c r="D270" i="5"/>
  <c r="D266" i="5" s="1"/>
  <c r="AH270" i="5"/>
  <c r="AH266" i="5" s="1"/>
  <c r="P270" i="5"/>
  <c r="P266" i="5" s="1"/>
  <c r="W270" i="5"/>
  <c r="W266" i="5" s="1"/>
  <c r="Q270" i="5"/>
  <c r="Q266" i="5" s="1"/>
  <c r="AF270" i="5"/>
  <c r="AF266" i="5" s="1"/>
  <c r="J270" i="5"/>
  <c r="J266" i="5" s="1"/>
  <c r="AC270" i="5"/>
  <c r="AC266" i="5" s="1"/>
  <c r="I270" i="5"/>
  <c r="I266" i="5" s="1"/>
  <c r="J275" i="5"/>
  <c r="C270" i="5"/>
  <c r="C266" i="5" s="1"/>
  <c r="G112" i="13"/>
  <c r="F159" i="5"/>
  <c r="F321" i="5"/>
  <c r="F20" i="9"/>
  <c r="T321" i="5"/>
  <c r="T159" i="5"/>
  <c r="T20" i="9"/>
  <c r="Z159" i="5"/>
  <c r="Z20" i="9"/>
  <c r="Z321" i="5"/>
  <c r="AC20" i="9"/>
  <c r="AC321" i="5"/>
  <c r="AC159" i="5"/>
  <c r="W20" i="9"/>
  <c r="W321" i="5"/>
  <c r="W159" i="5"/>
  <c r="P159" i="5"/>
  <c r="P321" i="5"/>
  <c r="P20" i="9"/>
  <c r="W42" i="9" l="1"/>
  <c r="W40" i="9" s="1"/>
  <c r="W45" i="9" s="1"/>
  <c r="W47" i="9" s="1"/>
  <c r="W18" i="9"/>
  <c r="W23" i="9" s="1"/>
  <c r="T163" i="5"/>
  <c r="T244" i="5" s="1"/>
  <c r="T245" i="5" s="1"/>
  <c r="T246" i="5" s="1"/>
  <c r="T162" i="5"/>
  <c r="T165" i="5" s="1"/>
  <c r="T174" i="5" s="1"/>
  <c r="T176" i="5" s="1"/>
  <c r="T182" i="5" s="1"/>
  <c r="T183" i="5" s="1"/>
  <c r="F162" i="5"/>
  <c r="F165" i="5" s="1"/>
  <c r="F174" i="5" s="1"/>
  <c r="F176" i="5" s="1"/>
  <c r="F182" i="5" s="1"/>
  <c r="F183" i="5" s="1"/>
  <c r="F163" i="5"/>
  <c r="F244" i="5" s="1"/>
  <c r="F245" i="5" s="1"/>
  <c r="F246" i="5" s="1"/>
  <c r="F230" i="1"/>
  <c r="Q265" i="5"/>
  <c r="Q287" i="5" s="1"/>
  <c r="Q290" i="5" s="1"/>
  <c r="J323" i="5"/>
  <c r="J315" i="5" s="1"/>
  <c r="J313" i="5" s="1"/>
  <c r="K271" i="5"/>
  <c r="E323" i="5"/>
  <c r="E315" i="5" s="1"/>
  <c r="E313" i="5" s="1"/>
  <c r="E271" i="5"/>
  <c r="E265" i="5" s="1"/>
  <c r="E287" i="5" s="1"/>
  <c r="E290" i="5" s="1"/>
  <c r="Z323" i="5"/>
  <c r="Z315" i="5" s="1"/>
  <c r="Z313" i="5" s="1"/>
  <c r="AA271" i="5"/>
  <c r="AB323" i="5"/>
  <c r="AB315" i="5" s="1"/>
  <c r="AB313" i="5" s="1"/>
  <c r="AC271" i="5"/>
  <c r="AC265" i="5" s="1"/>
  <c r="AC287" i="5" s="1"/>
  <c r="AC290" i="5" s="1"/>
  <c r="V323" i="5"/>
  <c r="V315" i="5" s="1"/>
  <c r="V313" i="5" s="1"/>
  <c r="W271" i="5"/>
  <c r="G323" i="5"/>
  <c r="G315" i="5" s="1"/>
  <c r="G313" i="5" s="1"/>
  <c r="H271" i="5"/>
  <c r="AD323" i="5"/>
  <c r="AD315" i="5" s="1"/>
  <c r="AD313" i="5" s="1"/>
  <c r="AE271" i="5"/>
  <c r="AE265" i="5" s="1"/>
  <c r="AE287" i="5" s="1"/>
  <c r="AE290" i="5" s="1"/>
  <c r="M163" i="5"/>
  <c r="M244" i="5" s="1"/>
  <c r="M245" i="5" s="1"/>
  <c r="M246" i="5" s="1"/>
  <c r="M162" i="5"/>
  <c r="M165" i="5" s="1"/>
  <c r="M174" i="5" s="1"/>
  <c r="M176" i="5" s="1"/>
  <c r="M182" i="5" s="1"/>
  <c r="M183" i="5" s="1"/>
  <c r="H42" i="9"/>
  <c r="H40" i="9" s="1"/>
  <c r="H45" i="9" s="1"/>
  <c r="H47" i="9" s="1"/>
  <c r="H18" i="9"/>
  <c r="H23" i="9" s="1"/>
  <c r="L163" i="5"/>
  <c r="L244" i="5" s="1"/>
  <c r="L245" i="5" s="1"/>
  <c r="L246" i="5" s="1"/>
  <c r="L162" i="5"/>
  <c r="L165" i="5" s="1"/>
  <c r="L174" i="5" s="1"/>
  <c r="L176" i="5" s="1"/>
  <c r="L182" i="5" s="1"/>
  <c r="L183" i="5" s="1"/>
  <c r="K42" i="9"/>
  <c r="K40" i="9" s="1"/>
  <c r="K45" i="9" s="1"/>
  <c r="K47" i="9" s="1"/>
  <c r="K18" i="9"/>
  <c r="K23" i="9" s="1"/>
  <c r="R163" i="5"/>
  <c r="R244" i="5" s="1"/>
  <c r="R245" i="5" s="1"/>
  <c r="R246" i="5" s="1"/>
  <c r="R162" i="5"/>
  <c r="R165" i="5" s="1"/>
  <c r="R174" i="5" s="1"/>
  <c r="R176" i="5" s="1"/>
  <c r="R182" i="5" s="1"/>
  <c r="R183" i="5" s="1"/>
  <c r="AA42" i="9"/>
  <c r="AA40" i="9" s="1"/>
  <c r="AA45" i="9" s="1"/>
  <c r="AA47" i="9" s="1"/>
  <c r="AA18" i="9"/>
  <c r="AA23" i="9" s="1"/>
  <c r="C12" i="4"/>
  <c r="B13" i="4"/>
  <c r="AH162" i="5"/>
  <c r="AH165" i="5" s="1"/>
  <c r="AH174" i="5" s="1"/>
  <c r="AH176" i="5" s="1"/>
  <c r="AH182" i="5" s="1"/>
  <c r="AH183" i="5" s="1"/>
  <c r="AH163" i="5"/>
  <c r="AH244" i="5" s="1"/>
  <c r="AH245" i="5" s="1"/>
  <c r="AH246" i="5" s="1"/>
  <c r="Y42" i="9"/>
  <c r="Y40" i="9" s="1"/>
  <c r="Y45" i="9" s="1"/>
  <c r="Y47" i="9" s="1"/>
  <c r="Y18" i="9"/>
  <c r="Y23" i="9" s="1"/>
  <c r="AF163" i="5"/>
  <c r="AF244" i="5" s="1"/>
  <c r="AF245" i="5" s="1"/>
  <c r="AF246" i="5" s="1"/>
  <c r="AF162" i="5"/>
  <c r="AF165" i="5" s="1"/>
  <c r="AF174" i="5" s="1"/>
  <c r="AF176" i="5" s="1"/>
  <c r="AF182" i="5" s="1"/>
  <c r="AF183" i="5" s="1"/>
  <c r="O42" i="9"/>
  <c r="O40" i="9" s="1"/>
  <c r="O45" i="9" s="1"/>
  <c r="O47" i="9" s="1"/>
  <c r="O18" i="9"/>
  <c r="O23" i="9" s="1"/>
  <c r="P163" i="5"/>
  <c r="P244" i="5" s="1"/>
  <c r="P245" i="5" s="1"/>
  <c r="P246" i="5" s="1"/>
  <c r="P162" i="5"/>
  <c r="P165" i="5" s="1"/>
  <c r="P174" i="5" s="1"/>
  <c r="P176" i="5" s="1"/>
  <c r="P182" i="5" s="1"/>
  <c r="P183" i="5" s="1"/>
  <c r="Z42" i="9"/>
  <c r="Z40" i="9" s="1"/>
  <c r="Z45" i="9" s="1"/>
  <c r="Z47" i="9" s="1"/>
  <c r="Z18" i="9"/>
  <c r="Z23" i="9" s="1"/>
  <c r="F323" i="5"/>
  <c r="F315" i="5" s="1"/>
  <c r="F313" i="5" s="1"/>
  <c r="G271" i="5"/>
  <c r="K265" i="5"/>
  <c r="K287" i="5" s="1"/>
  <c r="K290" i="5" s="1"/>
  <c r="R323" i="5"/>
  <c r="R315" i="5" s="1"/>
  <c r="R313" i="5" s="1"/>
  <c r="S271" i="5"/>
  <c r="X323" i="5"/>
  <c r="X315" i="5" s="1"/>
  <c r="X313" i="5" s="1"/>
  <c r="Y271" i="5"/>
  <c r="Y265" i="5"/>
  <c r="Y287" i="5" s="1"/>
  <c r="Y290" i="5" s="1"/>
  <c r="U265" i="5"/>
  <c r="U287" i="5" s="1"/>
  <c r="U290" i="5" s="1"/>
  <c r="AG323" i="5"/>
  <c r="AG315" i="5" s="1"/>
  <c r="AG313" i="5" s="1"/>
  <c r="AH271" i="5"/>
  <c r="F233" i="5"/>
  <c r="F308" i="5"/>
  <c r="F9" i="9"/>
  <c r="F13" i="9" s="1"/>
  <c r="F231" i="5"/>
  <c r="AA323" i="5"/>
  <c r="AA315" i="5" s="1"/>
  <c r="AA313" i="5" s="1"/>
  <c r="AB271" i="5"/>
  <c r="AB265" i="5" s="1"/>
  <c r="AB287" i="5" s="1"/>
  <c r="AB290" i="5" s="1"/>
  <c r="M265" i="5"/>
  <c r="M287" i="5" s="1"/>
  <c r="M290" i="5" s="1"/>
  <c r="AE323" i="5"/>
  <c r="AE315" i="5" s="1"/>
  <c r="AE313" i="5" s="1"/>
  <c r="AF271" i="5"/>
  <c r="AD42" i="9"/>
  <c r="AD40" i="9" s="1"/>
  <c r="AD45" i="9" s="1"/>
  <c r="AD47" i="9" s="1"/>
  <c r="AD18" i="9"/>
  <c r="AD23" i="9" s="1"/>
  <c r="X163" i="5"/>
  <c r="X244" i="5" s="1"/>
  <c r="X245" i="5" s="1"/>
  <c r="X246" i="5" s="1"/>
  <c r="X162" i="5"/>
  <c r="X165" i="5" s="1"/>
  <c r="X174" i="5" s="1"/>
  <c r="X176" i="5" s="1"/>
  <c r="X182" i="5" s="1"/>
  <c r="X183" i="5" s="1"/>
  <c r="H163" i="5"/>
  <c r="H244" i="5" s="1"/>
  <c r="H245" i="5" s="1"/>
  <c r="H246" i="5" s="1"/>
  <c r="H230" i="1"/>
  <c r="K163" i="5"/>
  <c r="K244" i="5" s="1"/>
  <c r="K245" i="5" s="1"/>
  <c r="K246" i="5" s="1"/>
  <c r="K162" i="5"/>
  <c r="K165" i="5" s="1"/>
  <c r="K174" i="5" s="1"/>
  <c r="K176" i="5" s="1"/>
  <c r="K182" i="5" s="1"/>
  <c r="K183" i="5" s="1"/>
  <c r="E18" i="9"/>
  <c r="E23" i="9" s="1"/>
  <c r="E42" i="9"/>
  <c r="E40" i="9" s="1"/>
  <c r="E45" i="9" s="1"/>
  <c r="E47" i="9" s="1"/>
  <c r="U163" i="5"/>
  <c r="U244" i="5" s="1"/>
  <c r="U245" i="5" s="1"/>
  <c r="U246" i="5" s="1"/>
  <c r="U162" i="5"/>
  <c r="U165" i="5" s="1"/>
  <c r="U174" i="5" s="1"/>
  <c r="U176" i="5" s="1"/>
  <c r="U182" i="5" s="1"/>
  <c r="U183" i="5" s="1"/>
  <c r="AB163" i="5"/>
  <c r="AB244" i="5" s="1"/>
  <c r="AB245" i="5" s="1"/>
  <c r="AB246" i="5" s="1"/>
  <c r="AB162" i="5"/>
  <c r="AB165" i="5" s="1"/>
  <c r="AB174" i="5" s="1"/>
  <c r="AB176" i="5" s="1"/>
  <c r="AB182" i="5" s="1"/>
  <c r="AB183" i="5" s="1"/>
  <c r="R42" i="9"/>
  <c r="R40" i="9" s="1"/>
  <c r="R45" i="9" s="1"/>
  <c r="R47" i="9" s="1"/>
  <c r="R18" i="9"/>
  <c r="R23" i="9" s="1"/>
  <c r="E101" i="13"/>
  <c r="E103" i="13"/>
  <c r="E104" i="13"/>
  <c r="E102" i="13"/>
  <c r="E105" i="13"/>
  <c r="E109" i="13"/>
  <c r="E108" i="13"/>
  <c r="E106" i="13"/>
  <c r="E110" i="13"/>
  <c r="E107" i="13"/>
  <c r="E111" i="13"/>
  <c r="S163" i="5"/>
  <c r="S244" i="5" s="1"/>
  <c r="S245" i="5" s="1"/>
  <c r="S246" i="5" s="1"/>
  <c r="S162" i="5"/>
  <c r="S165" i="5" s="1"/>
  <c r="S174" i="5" s="1"/>
  <c r="S176" i="5" s="1"/>
  <c r="S182" i="5" s="1"/>
  <c r="S183" i="5" s="1"/>
  <c r="V42" i="9"/>
  <c r="V40" i="9" s="1"/>
  <c r="V45" i="9" s="1"/>
  <c r="V47" i="9" s="1"/>
  <c r="V18" i="9"/>
  <c r="V23" i="9" s="1"/>
  <c r="Q162" i="5"/>
  <c r="Q165" i="5" s="1"/>
  <c r="Q174" i="5" s="1"/>
  <c r="Q176" i="5" s="1"/>
  <c r="Q182" i="5" s="1"/>
  <c r="Q183" i="5" s="1"/>
  <c r="Q163" i="5"/>
  <c r="Q244" i="5" s="1"/>
  <c r="Q245" i="5" s="1"/>
  <c r="Q246" i="5" s="1"/>
  <c r="N163" i="5"/>
  <c r="N244" i="5" s="1"/>
  <c r="N245" i="5" s="1"/>
  <c r="N246" i="5" s="1"/>
  <c r="N162" i="5"/>
  <c r="N165" i="5" s="1"/>
  <c r="N174" i="5" s="1"/>
  <c r="N176" i="5" s="1"/>
  <c r="N182" i="5" s="1"/>
  <c r="N183" i="5" s="1"/>
  <c r="C104" i="13"/>
  <c r="C105" i="13"/>
  <c r="C110" i="13"/>
  <c r="C108" i="13"/>
  <c r="C107" i="13"/>
  <c r="C101" i="13"/>
  <c r="C109" i="13"/>
  <c r="C111" i="13"/>
  <c r="C106" i="13"/>
  <c r="C102" i="13"/>
  <c r="C103" i="13"/>
  <c r="AF42" i="9"/>
  <c r="AF40" i="9" s="1"/>
  <c r="AF45" i="9" s="1"/>
  <c r="AF47" i="9" s="1"/>
  <c r="AF18" i="9"/>
  <c r="AF23" i="9" s="1"/>
  <c r="J162" i="5"/>
  <c r="J165" i="5" s="1"/>
  <c r="J174" i="5" s="1"/>
  <c r="J176" i="5" s="1"/>
  <c r="J182" i="5" s="1"/>
  <c r="J183" i="5" s="1"/>
  <c r="J163" i="5"/>
  <c r="J244" i="5" s="1"/>
  <c r="J245" i="5" s="1"/>
  <c r="J246" i="5" s="1"/>
  <c r="W163" i="5"/>
  <c r="W244" i="5" s="1"/>
  <c r="W245" i="5" s="1"/>
  <c r="W246" i="5" s="1"/>
  <c r="W162" i="5"/>
  <c r="W165" i="5" s="1"/>
  <c r="W174" i="5" s="1"/>
  <c r="W176" i="5" s="1"/>
  <c r="W182" i="5" s="1"/>
  <c r="W183" i="5" s="1"/>
  <c r="Z162" i="5"/>
  <c r="Z165" i="5" s="1"/>
  <c r="Z174" i="5" s="1"/>
  <c r="Z176" i="5" s="1"/>
  <c r="Z182" i="5" s="1"/>
  <c r="Z183" i="5" s="1"/>
  <c r="Z163" i="5"/>
  <c r="Z244" i="5" s="1"/>
  <c r="Z245" i="5" s="1"/>
  <c r="Z246" i="5" s="1"/>
  <c r="F18" i="9"/>
  <c r="F23" i="9" s="1"/>
  <c r="F42" i="9"/>
  <c r="F40" i="9" s="1"/>
  <c r="F45" i="9" s="1"/>
  <c r="F47" i="9" s="1"/>
  <c r="J265" i="5"/>
  <c r="J287" i="5" s="1"/>
  <c r="J290" i="5" s="1"/>
  <c r="P265" i="5"/>
  <c r="P287" i="5" s="1"/>
  <c r="P290" i="5" s="1"/>
  <c r="L323" i="5"/>
  <c r="L315" i="5" s="1"/>
  <c r="L313" i="5" s="1"/>
  <c r="M271" i="5"/>
  <c r="K323" i="5"/>
  <c r="K315" i="5" s="1"/>
  <c r="K313" i="5" s="1"/>
  <c r="L271" i="5"/>
  <c r="L265" i="5" s="1"/>
  <c r="L287" i="5" s="1"/>
  <c r="L290" i="5" s="1"/>
  <c r="AF323" i="5"/>
  <c r="AF315" i="5" s="1"/>
  <c r="AF313" i="5" s="1"/>
  <c r="AG271" i="5"/>
  <c r="AG265" i="5" s="1"/>
  <c r="AG287" i="5" s="1"/>
  <c r="AG290" i="5" s="1"/>
  <c r="V265" i="5"/>
  <c r="V287" i="5" s="1"/>
  <c r="V290" i="5" s="1"/>
  <c r="S265" i="5"/>
  <c r="S287" i="5" s="1"/>
  <c r="S290" i="5" s="1"/>
  <c r="G265" i="5"/>
  <c r="G287" i="5" s="1"/>
  <c r="G290" i="5" s="1"/>
  <c r="Y323" i="5"/>
  <c r="Y315" i="5" s="1"/>
  <c r="Y313" i="5" s="1"/>
  <c r="Z271" i="5"/>
  <c r="Z265" i="5" s="1"/>
  <c r="Z287" i="5" s="1"/>
  <c r="Z290" i="5" s="1"/>
  <c r="O323" i="5"/>
  <c r="O315" i="5" s="1"/>
  <c r="O313" i="5" s="1"/>
  <c r="P271" i="5"/>
  <c r="C323" i="5"/>
  <c r="C315" i="5" s="1"/>
  <c r="C313" i="5" s="1"/>
  <c r="C203" i="5" s="1"/>
  <c r="C271" i="5"/>
  <c r="C265" i="5" s="1"/>
  <c r="C287" i="5" s="1"/>
  <c r="C290" i="5" s="1"/>
  <c r="M323" i="5"/>
  <c r="M315" i="5" s="1"/>
  <c r="M313" i="5" s="1"/>
  <c r="N271" i="5"/>
  <c r="N265" i="5" s="1"/>
  <c r="N287" i="5" s="1"/>
  <c r="N290" i="5" s="1"/>
  <c r="I42" i="9"/>
  <c r="I40" i="9" s="1"/>
  <c r="I45" i="9" s="1"/>
  <c r="I47" i="9" s="1"/>
  <c r="I18" i="9"/>
  <c r="I23" i="9" s="1"/>
  <c r="AE163" i="5"/>
  <c r="AE244" i="5" s="1"/>
  <c r="AE245" i="5" s="1"/>
  <c r="AE246" i="5" s="1"/>
  <c r="AE162" i="5"/>
  <c r="AE165" i="5" s="1"/>
  <c r="AE174" i="5" s="1"/>
  <c r="AE176" i="5" s="1"/>
  <c r="AE182" i="5" s="1"/>
  <c r="AE183" i="5" s="1"/>
  <c r="L42" i="9"/>
  <c r="L40" i="9" s="1"/>
  <c r="L45" i="9" s="1"/>
  <c r="L47" i="9" s="1"/>
  <c r="L18" i="9"/>
  <c r="L23" i="9" s="1"/>
  <c r="F106" i="13"/>
  <c r="F107" i="13"/>
  <c r="F110" i="13"/>
  <c r="F102" i="13"/>
  <c r="F111" i="13"/>
  <c r="F105" i="13"/>
  <c r="F101" i="13"/>
  <c r="F109" i="13"/>
  <c r="F108" i="13"/>
  <c r="F104" i="13"/>
  <c r="F103" i="13"/>
  <c r="AA163" i="5"/>
  <c r="AA244" i="5" s="1"/>
  <c r="AA245" i="5" s="1"/>
  <c r="AA246" i="5" s="1"/>
  <c r="AA162" i="5"/>
  <c r="AA165" i="5" s="1"/>
  <c r="AA174" i="5" s="1"/>
  <c r="AA176" i="5" s="1"/>
  <c r="AA182" i="5" s="1"/>
  <c r="AA183" i="5" s="1"/>
  <c r="V163" i="5"/>
  <c r="V244" i="5" s="1"/>
  <c r="V245" i="5" s="1"/>
  <c r="V246" i="5" s="1"/>
  <c r="V162" i="5"/>
  <c r="V165" i="5" s="1"/>
  <c r="V174" i="5" s="1"/>
  <c r="V176" i="5" s="1"/>
  <c r="V182" i="5" s="1"/>
  <c r="V183" i="5" s="1"/>
  <c r="G42" i="9"/>
  <c r="G40" i="9" s="1"/>
  <c r="G45" i="9" s="1"/>
  <c r="G47" i="9" s="1"/>
  <c r="G18" i="9"/>
  <c r="G23" i="9" s="1"/>
  <c r="Y162" i="5"/>
  <c r="Y165" i="5" s="1"/>
  <c r="Y174" i="5" s="1"/>
  <c r="Y176" i="5" s="1"/>
  <c r="Y182" i="5" s="1"/>
  <c r="Y183" i="5" s="1"/>
  <c r="Y163" i="5"/>
  <c r="Y244" i="5" s="1"/>
  <c r="Y245" i="5" s="1"/>
  <c r="Y246" i="5" s="1"/>
  <c r="N42" i="9"/>
  <c r="N40" i="9" s="1"/>
  <c r="N45" i="9" s="1"/>
  <c r="N47" i="9" s="1"/>
  <c r="N18" i="9"/>
  <c r="N23" i="9" s="1"/>
  <c r="B42" i="9"/>
  <c r="B40" i="9" s="1"/>
  <c r="B45" i="9" s="1"/>
  <c r="B47" i="9" s="1"/>
  <c r="B48" i="9" s="1"/>
  <c r="B18" i="9"/>
  <c r="B23" i="9" s="1"/>
  <c r="J18" i="9"/>
  <c r="J23" i="9" s="1"/>
  <c r="J42" i="9"/>
  <c r="J40" i="9" s="1"/>
  <c r="J45" i="9" s="1"/>
  <c r="J47" i="9" s="1"/>
  <c r="AG18" i="9"/>
  <c r="AG23" i="9" s="1"/>
  <c r="AG42" i="9"/>
  <c r="AG40" i="9" s="1"/>
  <c r="AG45" i="9" s="1"/>
  <c r="AG47" i="9" s="1"/>
  <c r="D110" i="13"/>
  <c r="D104" i="13"/>
  <c r="D108" i="13"/>
  <c r="D106" i="13"/>
  <c r="D111" i="13"/>
  <c r="D103" i="13"/>
  <c r="D107" i="13"/>
  <c r="D101" i="13"/>
  <c r="D109" i="13"/>
  <c r="D102" i="13"/>
  <c r="D105" i="13"/>
  <c r="D265" i="5"/>
  <c r="D287" i="5" s="1"/>
  <c r="D290" i="5" s="1"/>
  <c r="H323" i="5"/>
  <c r="H315" i="5" s="1"/>
  <c r="H313" i="5" s="1"/>
  <c r="I271" i="5"/>
  <c r="I265" i="5" s="1"/>
  <c r="I287" i="5" s="1"/>
  <c r="I290" i="5" s="1"/>
  <c r="AC323" i="5"/>
  <c r="AC315" i="5" s="1"/>
  <c r="AC313" i="5" s="1"/>
  <c r="AD271" i="5"/>
  <c r="D323" i="5"/>
  <c r="D315" i="5" s="1"/>
  <c r="D313" i="5" s="1"/>
  <c r="D271" i="5"/>
  <c r="H265" i="5"/>
  <c r="H287" i="5" s="1"/>
  <c r="H290" i="5" s="1"/>
  <c r="AD163" i="5"/>
  <c r="AD244" i="5" s="1"/>
  <c r="AD245" i="5" s="1"/>
  <c r="AD246" i="5" s="1"/>
  <c r="AD162" i="5"/>
  <c r="AD165" i="5" s="1"/>
  <c r="AD174" i="5" s="1"/>
  <c r="AD176" i="5" s="1"/>
  <c r="AD182" i="5" s="1"/>
  <c r="AD183" i="5" s="1"/>
  <c r="X42" i="9"/>
  <c r="X40" i="9" s="1"/>
  <c r="X45" i="9" s="1"/>
  <c r="X47" i="9" s="1"/>
  <c r="X18" i="9"/>
  <c r="X23" i="9" s="1"/>
  <c r="AE42" i="9"/>
  <c r="AE40" i="9" s="1"/>
  <c r="AE45" i="9" s="1"/>
  <c r="AE47" i="9" s="1"/>
  <c r="AE18" i="9"/>
  <c r="AE23" i="9" s="1"/>
  <c r="AB42" i="9"/>
  <c r="AB40" i="9" s="1"/>
  <c r="AB45" i="9" s="1"/>
  <c r="AB47" i="9" s="1"/>
  <c r="AB18" i="9"/>
  <c r="AB23" i="9" s="1"/>
  <c r="D42" i="9"/>
  <c r="D40" i="9" s="1"/>
  <c r="D45" i="9" s="1"/>
  <c r="D47" i="9" s="1"/>
  <c r="D48" i="9" s="1"/>
  <c r="D18" i="9"/>
  <c r="D23" i="9" s="1"/>
  <c r="AC163" i="5"/>
  <c r="AC244" i="5" s="1"/>
  <c r="AC245" i="5" s="1"/>
  <c r="AC246" i="5" s="1"/>
  <c r="AC162" i="5"/>
  <c r="AC165" i="5" s="1"/>
  <c r="AC174" i="5" s="1"/>
  <c r="AC176" i="5" s="1"/>
  <c r="AC182" i="5" s="1"/>
  <c r="AC183" i="5" s="1"/>
  <c r="W265" i="5"/>
  <c r="W287" i="5" s="1"/>
  <c r="W290" i="5" s="1"/>
  <c r="P42" i="9"/>
  <c r="P40" i="9" s="1"/>
  <c r="P45" i="9" s="1"/>
  <c r="P47" i="9" s="1"/>
  <c r="P18" i="9"/>
  <c r="P23" i="9" s="1"/>
  <c r="AC42" i="9"/>
  <c r="AC40" i="9" s="1"/>
  <c r="AC45" i="9" s="1"/>
  <c r="AC47" i="9" s="1"/>
  <c r="AC18" i="9"/>
  <c r="AC23" i="9" s="1"/>
  <c r="T42" i="9"/>
  <c r="T40" i="9" s="1"/>
  <c r="T45" i="9" s="1"/>
  <c r="T47" i="9" s="1"/>
  <c r="T18" i="9"/>
  <c r="T23" i="9" s="1"/>
  <c r="I323" i="5"/>
  <c r="I315" i="5" s="1"/>
  <c r="I313" i="5" s="1"/>
  <c r="J271" i="5"/>
  <c r="AF265" i="5"/>
  <c r="AF287" i="5" s="1"/>
  <c r="AF290" i="5" s="1"/>
  <c r="AH265" i="5"/>
  <c r="AH287" i="5" s="1"/>
  <c r="AH290" i="5" s="1"/>
  <c r="AD265" i="5"/>
  <c r="AD287" i="5" s="1"/>
  <c r="AD290" i="5" s="1"/>
  <c r="AA265" i="5"/>
  <c r="AA287" i="5" s="1"/>
  <c r="AA290" i="5" s="1"/>
  <c r="S323" i="5"/>
  <c r="S315" i="5" s="1"/>
  <c r="S313" i="5" s="1"/>
  <c r="T271" i="5"/>
  <c r="T265" i="5" s="1"/>
  <c r="T287" i="5" s="1"/>
  <c r="T290" i="5" s="1"/>
  <c r="T323" i="5"/>
  <c r="T315" i="5" s="1"/>
  <c r="T313" i="5" s="1"/>
  <c r="U271" i="5"/>
  <c r="B323" i="5"/>
  <c r="B315" i="5" s="1"/>
  <c r="B313" i="5" s="1"/>
  <c r="B203" i="5" s="1"/>
  <c r="B271" i="5"/>
  <c r="B265" i="5" s="1"/>
  <c r="B287" i="5" s="1"/>
  <c r="B290" i="5" s="1"/>
  <c r="P323" i="5"/>
  <c r="P315" i="5" s="1"/>
  <c r="P313" i="5" s="1"/>
  <c r="Q271" i="5"/>
  <c r="N323" i="5"/>
  <c r="N315" i="5" s="1"/>
  <c r="N313" i="5" s="1"/>
  <c r="O271" i="5"/>
  <c r="O265" i="5" s="1"/>
  <c r="O287" i="5" s="1"/>
  <c r="O290" i="5" s="1"/>
  <c r="W323" i="5"/>
  <c r="W315" i="5" s="1"/>
  <c r="W313" i="5" s="1"/>
  <c r="X271" i="5"/>
  <c r="X265" i="5" s="1"/>
  <c r="X287" i="5" s="1"/>
  <c r="X290" i="5" s="1"/>
  <c r="U323" i="5"/>
  <c r="U315" i="5" s="1"/>
  <c r="U313" i="5" s="1"/>
  <c r="V271" i="5"/>
  <c r="Q323" i="5"/>
  <c r="Q315" i="5" s="1"/>
  <c r="Q313" i="5" s="1"/>
  <c r="R271" i="5"/>
  <c r="R265" i="5" s="1"/>
  <c r="R287" i="5" s="1"/>
  <c r="R290" i="5" s="1"/>
  <c r="I162" i="5"/>
  <c r="I165" i="5" s="1"/>
  <c r="I174" i="5" s="1"/>
  <c r="I176" i="5" s="1"/>
  <c r="I182" i="5" s="1"/>
  <c r="I183" i="5" s="1"/>
  <c r="I163" i="5"/>
  <c r="I244" i="5" s="1"/>
  <c r="I245" i="5" s="1"/>
  <c r="I246" i="5" s="1"/>
  <c r="M42" i="9"/>
  <c r="M40" i="9" s="1"/>
  <c r="M45" i="9" s="1"/>
  <c r="M47" i="9" s="1"/>
  <c r="M18" i="9"/>
  <c r="M23" i="9" s="1"/>
  <c r="U18" i="9"/>
  <c r="U23" i="9" s="1"/>
  <c r="U42" i="9"/>
  <c r="U40" i="9" s="1"/>
  <c r="U45" i="9" s="1"/>
  <c r="U47" i="9" s="1"/>
  <c r="S42" i="9"/>
  <c r="S40" i="9" s="1"/>
  <c r="S45" i="9" s="1"/>
  <c r="S47" i="9" s="1"/>
  <c r="S18" i="9"/>
  <c r="S23" i="9" s="1"/>
  <c r="G163" i="5"/>
  <c r="G244" i="5" s="1"/>
  <c r="G245" i="5" s="1"/>
  <c r="G246" i="5" s="1"/>
  <c r="G162" i="5"/>
  <c r="G165" i="5" s="1"/>
  <c r="G174" i="5" s="1"/>
  <c r="G176" i="5" s="1"/>
  <c r="G182" i="5" s="1"/>
  <c r="G183" i="5" s="1"/>
  <c r="G230" i="1"/>
  <c r="AH42" i="9"/>
  <c r="AH40" i="9" s="1"/>
  <c r="AH45" i="9" s="1"/>
  <c r="AH47" i="9" s="1"/>
  <c r="AH18" i="9"/>
  <c r="AH23" i="9" s="1"/>
  <c r="Q18" i="9"/>
  <c r="Q23" i="9" s="1"/>
  <c r="Q42" i="9"/>
  <c r="Q40" i="9" s="1"/>
  <c r="Q45" i="9" s="1"/>
  <c r="Q47" i="9" s="1"/>
  <c r="B183" i="5"/>
  <c r="B184" i="5"/>
  <c r="C184" i="5" s="1"/>
  <c r="D184" i="5" s="1"/>
  <c r="E184" i="5" s="1"/>
  <c r="F184" i="5" s="1"/>
  <c r="G184" i="5" s="1"/>
  <c r="H184" i="5" s="1"/>
  <c r="I184" i="5" s="1"/>
  <c r="J184" i="5" s="1"/>
  <c r="K184" i="5" s="1"/>
  <c r="L184" i="5" s="1"/>
  <c r="M184" i="5" s="1"/>
  <c r="O163" i="5"/>
  <c r="O244" i="5" s="1"/>
  <c r="O245" i="5" s="1"/>
  <c r="O246" i="5" s="1"/>
  <c r="O162" i="5"/>
  <c r="O165" i="5" s="1"/>
  <c r="O174" i="5" s="1"/>
  <c r="O176" i="5" s="1"/>
  <c r="O182" i="5" s="1"/>
  <c r="O183" i="5" s="1"/>
  <c r="AG163" i="5"/>
  <c r="AG244" i="5" s="1"/>
  <c r="AG245" i="5" s="1"/>
  <c r="AG246" i="5" s="1"/>
  <c r="AG162" i="5"/>
  <c r="AG165" i="5" s="1"/>
  <c r="AG174" i="5" s="1"/>
  <c r="AG176" i="5" s="1"/>
  <c r="AG182" i="5" s="1"/>
  <c r="AG183" i="5" s="1"/>
  <c r="C42" i="9"/>
  <c r="C40" i="9" s="1"/>
  <c r="C45" i="9" s="1"/>
  <c r="C47" i="9" s="1"/>
  <c r="C48" i="9" s="1"/>
  <c r="C18" i="9"/>
  <c r="C23" i="9" s="1"/>
  <c r="N308" i="5" l="1"/>
  <c r="N9" i="9"/>
  <c r="N13" i="9" s="1"/>
  <c r="N25" i="9" s="1"/>
  <c r="N233" i="5"/>
  <c r="N231" i="5"/>
  <c r="O9" i="9"/>
  <c r="O13" i="9" s="1"/>
  <c r="O25" i="9" s="1"/>
  <c r="O233" i="5"/>
  <c r="O308" i="5"/>
  <c r="O231" i="5"/>
  <c r="T233" i="5"/>
  <c r="T9" i="9"/>
  <c r="T13" i="9" s="1"/>
  <c r="T25" i="9" s="1"/>
  <c r="T308" i="5"/>
  <c r="T231" i="5"/>
  <c r="L9" i="9"/>
  <c r="L13" i="9" s="1"/>
  <c r="L25" i="9" s="1"/>
  <c r="L308" i="5"/>
  <c r="L233" i="5"/>
  <c r="L231" i="5"/>
  <c r="R233" i="5"/>
  <c r="R9" i="9"/>
  <c r="R13" i="9" s="1"/>
  <c r="R25" i="9" s="1"/>
  <c r="R308" i="5"/>
  <c r="R231" i="5"/>
  <c r="X308" i="5"/>
  <c r="X233" i="5"/>
  <c r="X9" i="9"/>
  <c r="X13" i="9" s="1"/>
  <c r="X25" i="9" s="1"/>
  <c r="X231" i="5"/>
  <c r="AG233" i="5"/>
  <c r="AG308" i="5"/>
  <c r="AG9" i="9"/>
  <c r="AG13" i="9" s="1"/>
  <c r="AG25" i="9" s="1"/>
  <c r="AG231" i="5"/>
  <c r="AC233" i="5"/>
  <c r="AC308" i="5"/>
  <c r="AC9" i="9"/>
  <c r="AC13" i="9" s="1"/>
  <c r="AC25" i="9" s="1"/>
  <c r="AC231" i="5"/>
  <c r="E233" i="5"/>
  <c r="E9" i="9"/>
  <c r="E13" i="9" s="1"/>
  <c r="E25" i="9" s="1"/>
  <c r="E308" i="5"/>
  <c r="E231" i="5"/>
  <c r="B308" i="5"/>
  <c r="B9" i="9"/>
  <c r="B13" i="9" s="1"/>
  <c r="B25" i="9" s="1"/>
  <c r="B26" i="9" s="1"/>
  <c r="B233" i="5"/>
  <c r="B231" i="5"/>
  <c r="I308" i="5"/>
  <c r="I233" i="5"/>
  <c r="I9" i="9"/>
  <c r="I13" i="9" s="1"/>
  <c r="I25" i="9" s="1"/>
  <c r="I231" i="5"/>
  <c r="AE233" i="5"/>
  <c r="AE308" i="5"/>
  <c r="AE9" i="9"/>
  <c r="AE13" i="9" s="1"/>
  <c r="AE25" i="9" s="1"/>
  <c r="AE231" i="5"/>
  <c r="C233" i="5"/>
  <c r="C308" i="5"/>
  <c r="C9" i="9"/>
  <c r="C13" i="9" s="1"/>
  <c r="C25" i="9" s="1"/>
  <c r="C26" i="9" s="1"/>
  <c r="C301" i="5" s="1"/>
  <c r="C300" i="5" s="1"/>
  <c r="C231" i="5"/>
  <c r="Z233" i="5"/>
  <c r="Z9" i="9"/>
  <c r="Z13" i="9" s="1"/>
  <c r="Z25" i="9" s="1"/>
  <c r="Z308" i="5"/>
  <c r="Z231" i="5"/>
  <c r="AB9" i="9"/>
  <c r="AB13" i="9" s="1"/>
  <c r="AB25" i="9" s="1"/>
  <c r="AB233" i="5"/>
  <c r="AB308" i="5"/>
  <c r="AB231" i="5"/>
  <c r="AH108" i="13"/>
  <c r="AH85" i="13"/>
  <c r="AH78" i="13"/>
  <c r="AH111" i="13"/>
  <c r="AH30" i="13"/>
  <c r="AH27" i="13"/>
  <c r="AH106" i="13"/>
  <c r="AH56" i="13"/>
  <c r="AH58" i="13"/>
  <c r="AH51" i="13"/>
  <c r="AH35" i="13"/>
  <c r="AH102" i="13"/>
  <c r="AH86" i="13"/>
  <c r="AH79" i="13"/>
  <c r="AH36" i="13"/>
  <c r="AH109" i="13"/>
  <c r="AH31" i="13"/>
  <c r="AH82" i="13"/>
  <c r="AH55" i="13"/>
  <c r="AH59" i="13"/>
  <c r="AH52" i="13"/>
  <c r="AH28" i="13"/>
  <c r="AH57" i="13"/>
  <c r="AH77" i="13"/>
  <c r="AH32" i="13"/>
  <c r="AH107" i="13"/>
  <c r="AH104" i="13"/>
  <c r="AH54" i="13"/>
  <c r="AH84" i="13"/>
  <c r="AH34" i="13"/>
  <c r="AH80" i="13"/>
  <c r="AH29" i="13"/>
  <c r="AH110" i="13"/>
  <c r="AH83" i="13"/>
  <c r="AH33" i="13"/>
  <c r="AH103" i="13"/>
  <c r="AH81" i="13"/>
  <c r="AH60" i="13"/>
  <c r="AH101" i="13"/>
  <c r="AH26" i="13"/>
  <c r="AH61" i="13"/>
  <c r="AH76" i="13"/>
  <c r="AH105" i="13"/>
  <c r="AH53" i="13"/>
  <c r="AD233" i="5"/>
  <c r="AD9" i="9"/>
  <c r="AD13" i="9" s="1"/>
  <c r="AD25" i="9" s="1"/>
  <c r="AD308" i="5"/>
  <c r="AD231" i="5"/>
  <c r="AE107" i="13"/>
  <c r="AE36" i="13"/>
  <c r="AE28" i="13"/>
  <c r="AE83" i="13"/>
  <c r="AE76" i="13"/>
  <c r="AE33" i="13"/>
  <c r="AE80" i="13"/>
  <c r="AE59" i="13"/>
  <c r="AE53" i="13"/>
  <c r="AE109" i="13"/>
  <c r="AE82" i="13"/>
  <c r="AE105" i="13"/>
  <c r="AE29" i="13"/>
  <c r="AE57" i="13"/>
  <c r="AE84" i="13"/>
  <c r="AE77" i="13"/>
  <c r="AE26" i="13"/>
  <c r="AE55" i="13"/>
  <c r="AE61" i="13"/>
  <c r="AE35" i="13"/>
  <c r="AE103" i="13"/>
  <c r="AE56" i="13"/>
  <c r="AE101" i="13"/>
  <c r="AE102" i="13"/>
  <c r="AE79" i="13"/>
  <c r="AE58" i="13"/>
  <c r="AE30" i="13"/>
  <c r="AE31" i="13"/>
  <c r="AE86" i="13"/>
  <c r="AE52" i="13"/>
  <c r="AE111" i="13"/>
  <c r="AE78" i="13"/>
  <c r="AE32" i="13"/>
  <c r="AE60" i="13"/>
  <c r="AE104" i="13"/>
  <c r="AE85" i="13"/>
  <c r="AE106" i="13"/>
  <c r="AE51" i="13"/>
  <c r="AE34" i="13"/>
  <c r="AE54" i="13"/>
  <c r="AE81" i="13"/>
  <c r="AE27" i="13"/>
  <c r="AE108" i="13"/>
  <c r="AE110" i="13"/>
  <c r="S9" i="9"/>
  <c r="S13" i="9" s="1"/>
  <c r="S25" i="9" s="1"/>
  <c r="S233" i="5"/>
  <c r="S308" i="5"/>
  <c r="S231" i="5"/>
  <c r="P233" i="5"/>
  <c r="P9" i="9"/>
  <c r="P13" i="9" s="1"/>
  <c r="P25" i="9" s="1"/>
  <c r="P308" i="5"/>
  <c r="P231" i="5"/>
  <c r="L81" i="13"/>
  <c r="L110" i="13"/>
  <c r="L60" i="13"/>
  <c r="L53" i="13"/>
  <c r="L103" i="13"/>
  <c r="L101" i="13"/>
  <c r="L109" i="13"/>
  <c r="L102" i="13"/>
  <c r="L86" i="13"/>
  <c r="L79" i="13"/>
  <c r="L34" i="13"/>
  <c r="L107" i="13"/>
  <c r="L80" i="13"/>
  <c r="L104" i="13"/>
  <c r="L61" i="13"/>
  <c r="L54" i="13"/>
  <c r="L31" i="13"/>
  <c r="L36" i="13"/>
  <c r="L27" i="13"/>
  <c r="L83" i="13"/>
  <c r="L76" i="13"/>
  <c r="L33" i="13"/>
  <c r="L82" i="13"/>
  <c r="L59" i="13"/>
  <c r="L28" i="13"/>
  <c r="L30" i="13"/>
  <c r="L85" i="13"/>
  <c r="L32" i="13"/>
  <c r="L52" i="13"/>
  <c r="L108" i="13"/>
  <c r="L58" i="13"/>
  <c r="L29" i="13"/>
  <c r="L26" i="13"/>
  <c r="L56" i="13"/>
  <c r="L51" i="13"/>
  <c r="L105" i="13"/>
  <c r="L57" i="13"/>
  <c r="L77" i="13"/>
  <c r="L55" i="13"/>
  <c r="L111" i="13"/>
  <c r="L78" i="13"/>
  <c r="L106" i="13"/>
  <c r="L35" i="13"/>
  <c r="L84" i="13"/>
  <c r="Y109" i="13"/>
  <c r="Y57" i="13"/>
  <c r="Y82" i="13"/>
  <c r="Y55" i="13"/>
  <c r="Y59" i="13"/>
  <c r="Y52" i="13"/>
  <c r="Y28" i="13"/>
  <c r="Y78" i="13"/>
  <c r="Y101" i="13"/>
  <c r="Y102" i="13"/>
  <c r="Y33" i="13"/>
  <c r="Y107" i="13"/>
  <c r="Y103" i="13"/>
  <c r="Y83" i="13"/>
  <c r="Y81" i="13"/>
  <c r="Y110" i="13"/>
  <c r="Y60" i="13"/>
  <c r="Y53" i="13"/>
  <c r="Y85" i="13"/>
  <c r="Y31" i="13"/>
  <c r="Y36" i="13"/>
  <c r="Y84" i="13"/>
  <c r="Y30" i="13"/>
  <c r="Y106" i="13"/>
  <c r="Y58" i="13"/>
  <c r="Y35" i="13"/>
  <c r="Y111" i="13"/>
  <c r="Y79" i="13"/>
  <c r="Y51" i="13"/>
  <c r="Y108" i="13"/>
  <c r="Y32" i="13"/>
  <c r="Y104" i="13"/>
  <c r="Y105" i="13"/>
  <c r="Y34" i="13"/>
  <c r="Y80" i="13"/>
  <c r="Y61" i="13"/>
  <c r="Y86" i="13"/>
  <c r="Y29" i="13"/>
  <c r="Y27" i="13"/>
  <c r="Y56" i="13"/>
  <c r="Y77" i="13"/>
  <c r="Y26" i="13"/>
  <c r="Y54" i="13"/>
  <c r="Y76" i="13"/>
  <c r="M30" i="13"/>
  <c r="M27" i="13"/>
  <c r="M107" i="13"/>
  <c r="M80" i="13"/>
  <c r="M104" i="13"/>
  <c r="M61" i="13"/>
  <c r="M54" i="13"/>
  <c r="M86" i="13"/>
  <c r="M105" i="13"/>
  <c r="M29" i="13"/>
  <c r="M109" i="13"/>
  <c r="M57" i="13"/>
  <c r="M106" i="13"/>
  <c r="M56" i="13"/>
  <c r="M58" i="13"/>
  <c r="M51" i="13"/>
  <c r="M35" i="13"/>
  <c r="M83" i="13"/>
  <c r="M79" i="13"/>
  <c r="M111" i="13"/>
  <c r="M108" i="13"/>
  <c r="M34" i="13"/>
  <c r="M81" i="13"/>
  <c r="M60" i="13"/>
  <c r="M102" i="13"/>
  <c r="M31" i="13"/>
  <c r="M78" i="13"/>
  <c r="M26" i="13"/>
  <c r="M53" i="13"/>
  <c r="M36" i="13"/>
  <c r="M103" i="13"/>
  <c r="M59" i="13"/>
  <c r="M33" i="13"/>
  <c r="M77" i="13"/>
  <c r="M55" i="13"/>
  <c r="M52" i="13"/>
  <c r="M84" i="13"/>
  <c r="M101" i="13"/>
  <c r="M32" i="13"/>
  <c r="M110" i="13"/>
  <c r="M85" i="13"/>
  <c r="M82" i="13"/>
  <c r="M28" i="13"/>
  <c r="M76" i="13"/>
  <c r="N108" i="13"/>
  <c r="N85" i="13"/>
  <c r="N78" i="13"/>
  <c r="N105" i="13"/>
  <c r="N103" i="13"/>
  <c r="F153" i="13" s="1"/>
  <c r="N36" i="13"/>
  <c r="N82" i="13"/>
  <c r="N55" i="13"/>
  <c r="N59" i="13"/>
  <c r="N52" i="13"/>
  <c r="N28" i="13"/>
  <c r="N102" i="13"/>
  <c r="N86" i="13"/>
  <c r="N79" i="13"/>
  <c r="N32" i="13"/>
  <c r="N34" i="13"/>
  <c r="N29" i="13"/>
  <c r="N81" i="13"/>
  <c r="N110" i="13"/>
  <c r="N60" i="13"/>
  <c r="N53" i="13"/>
  <c r="N111" i="13"/>
  <c r="N84" i="13"/>
  <c r="N26" i="13"/>
  <c r="N31" i="13"/>
  <c r="N56" i="13"/>
  <c r="N51" i="13"/>
  <c r="N57" i="13"/>
  <c r="N109" i="13"/>
  <c r="N58" i="13"/>
  <c r="N83" i="13"/>
  <c r="N27" i="13"/>
  <c r="N61" i="13"/>
  <c r="N76" i="13"/>
  <c r="N30" i="13"/>
  <c r="N107" i="13"/>
  <c r="N104" i="13"/>
  <c r="N54" i="13"/>
  <c r="N77" i="13"/>
  <c r="N106" i="13"/>
  <c r="N35" i="13"/>
  <c r="N33" i="13"/>
  <c r="N80" i="13"/>
  <c r="N101" i="13"/>
  <c r="Q308" i="5"/>
  <c r="Q9" i="9"/>
  <c r="Q13" i="9" s="1"/>
  <c r="Q25" i="9" s="1"/>
  <c r="Q233" i="5"/>
  <c r="Q231" i="5"/>
  <c r="AB106" i="13"/>
  <c r="AB56" i="13"/>
  <c r="AB58" i="13"/>
  <c r="AB51" i="13"/>
  <c r="AB35" i="13"/>
  <c r="AB34" i="13"/>
  <c r="AB101" i="13"/>
  <c r="AB27" i="13"/>
  <c r="AB102" i="13"/>
  <c r="AB86" i="13"/>
  <c r="AB79" i="13"/>
  <c r="AB82" i="13"/>
  <c r="AB55" i="13"/>
  <c r="AB59" i="13"/>
  <c r="AB52" i="13"/>
  <c r="AB28" i="13"/>
  <c r="AB31" i="13"/>
  <c r="AB36" i="13"/>
  <c r="AB107" i="13"/>
  <c r="AB83" i="13"/>
  <c r="AB76" i="13"/>
  <c r="AB33" i="13"/>
  <c r="AB80" i="13"/>
  <c r="AB61" i="13"/>
  <c r="AB103" i="13"/>
  <c r="AB32" i="13"/>
  <c r="AB85" i="13"/>
  <c r="AB30" i="13"/>
  <c r="AB54" i="13"/>
  <c r="AB111" i="13"/>
  <c r="AB78" i="13"/>
  <c r="AB81" i="13"/>
  <c r="AB109" i="13"/>
  <c r="AB84" i="13"/>
  <c r="AB110" i="13"/>
  <c r="AB53" i="13"/>
  <c r="AB105" i="13"/>
  <c r="AB57" i="13"/>
  <c r="AB77" i="13"/>
  <c r="AB104" i="13"/>
  <c r="AB108" i="13"/>
  <c r="AB60" i="13"/>
  <c r="AB29" i="13"/>
  <c r="AB26" i="13"/>
  <c r="AA31" i="13"/>
  <c r="AA101" i="13"/>
  <c r="AA81" i="13"/>
  <c r="AA35" i="13"/>
  <c r="AA83" i="13"/>
  <c r="AA76" i="13"/>
  <c r="AA33" i="13"/>
  <c r="AA60" i="13"/>
  <c r="AA109" i="13"/>
  <c r="AA55" i="13"/>
  <c r="AA61" i="13"/>
  <c r="AA107" i="13"/>
  <c r="AA36" i="13"/>
  <c r="AA80" i="13"/>
  <c r="AA57" i="13"/>
  <c r="AA84" i="13"/>
  <c r="AA77" i="13"/>
  <c r="AA26" i="13"/>
  <c r="AA28" i="13"/>
  <c r="AA103" i="13"/>
  <c r="AA110" i="13"/>
  <c r="AA52" i="13"/>
  <c r="AA82" i="13"/>
  <c r="AA102" i="13"/>
  <c r="AA79" i="13"/>
  <c r="AA30" i="13"/>
  <c r="AA59" i="13"/>
  <c r="AA111" i="13"/>
  <c r="AA86" i="13"/>
  <c r="AA27" i="13"/>
  <c r="AA54" i="13"/>
  <c r="AA108" i="13"/>
  <c r="AA32" i="13"/>
  <c r="AA105" i="13"/>
  <c r="AA56" i="13"/>
  <c r="AA85" i="13"/>
  <c r="AA106" i="13"/>
  <c r="AA34" i="13"/>
  <c r="AA53" i="13"/>
  <c r="AA51" i="13"/>
  <c r="AA104" i="13"/>
  <c r="AA29" i="13"/>
  <c r="AA78" i="13"/>
  <c r="AA58" i="13"/>
  <c r="O31" i="13"/>
  <c r="O101" i="13"/>
  <c r="O82" i="13"/>
  <c r="O51" i="13"/>
  <c r="O57" i="13"/>
  <c r="O84" i="13"/>
  <c r="O77" i="13"/>
  <c r="O26" i="13"/>
  <c r="O30" i="13"/>
  <c r="O27" i="13"/>
  <c r="O60" i="13"/>
  <c r="O107" i="13"/>
  <c r="O36" i="13"/>
  <c r="O81" i="13"/>
  <c r="O54" i="13"/>
  <c r="O108" i="13"/>
  <c r="O85" i="13"/>
  <c r="O78" i="13"/>
  <c r="O56" i="13"/>
  <c r="O109" i="13"/>
  <c r="O104" i="13"/>
  <c r="O61" i="13"/>
  <c r="O106" i="13"/>
  <c r="O28" i="13"/>
  <c r="O76" i="13"/>
  <c r="O32" i="13"/>
  <c r="O59" i="13"/>
  <c r="O55" i="13"/>
  <c r="O33" i="13"/>
  <c r="O53" i="13"/>
  <c r="O29" i="13"/>
  <c r="O86" i="13"/>
  <c r="O58" i="13"/>
  <c r="O105" i="13"/>
  <c r="O80" i="13"/>
  <c r="O102" i="13"/>
  <c r="O79" i="13"/>
  <c r="O103" i="13"/>
  <c r="O52" i="13"/>
  <c r="O111" i="13"/>
  <c r="O83" i="13"/>
  <c r="O34" i="13"/>
  <c r="O35" i="13"/>
  <c r="O110" i="13"/>
  <c r="M9" i="9"/>
  <c r="M13" i="9" s="1"/>
  <c r="M25" i="9" s="1"/>
  <c r="M308" i="5"/>
  <c r="M233" i="5"/>
  <c r="M231" i="5"/>
  <c r="Y9" i="9"/>
  <c r="Y13" i="9" s="1"/>
  <c r="Y25" i="9" s="1"/>
  <c r="Y308" i="5"/>
  <c r="Y233" i="5"/>
  <c r="Y231" i="5"/>
  <c r="Q109" i="13"/>
  <c r="Q102" i="13"/>
  <c r="Q82" i="13"/>
  <c r="Q55" i="13"/>
  <c r="Q59" i="13"/>
  <c r="Q52" i="13"/>
  <c r="Q28" i="13"/>
  <c r="Q105" i="13"/>
  <c r="Q29" i="13"/>
  <c r="Q86" i="13"/>
  <c r="Q26" i="13"/>
  <c r="Q107" i="13"/>
  <c r="Q103" i="13"/>
  <c r="Q76" i="13"/>
  <c r="Q81" i="13"/>
  <c r="Q110" i="13"/>
  <c r="Q60" i="13"/>
  <c r="Q53" i="13"/>
  <c r="Q57" i="13"/>
  <c r="Q111" i="13"/>
  <c r="Q83" i="13"/>
  <c r="Q77" i="13"/>
  <c r="Q30" i="13"/>
  <c r="Q106" i="13"/>
  <c r="Q58" i="13"/>
  <c r="Q35" i="13"/>
  <c r="Q36" i="13"/>
  <c r="Q33" i="13"/>
  <c r="Q56" i="13"/>
  <c r="Q31" i="13"/>
  <c r="Q32" i="13"/>
  <c r="Q104" i="13"/>
  <c r="Q101" i="13"/>
  <c r="Q34" i="13"/>
  <c r="Q80" i="13"/>
  <c r="Q61" i="13"/>
  <c r="Q108" i="13"/>
  <c r="Q84" i="13"/>
  <c r="Q27" i="13"/>
  <c r="Q51" i="13"/>
  <c r="Q85" i="13"/>
  <c r="Q78" i="13"/>
  <c r="Q54" i="13"/>
  <c r="Q79" i="13"/>
  <c r="AI111" i="13"/>
  <c r="AI55" i="13"/>
  <c r="AI51" i="13"/>
  <c r="AI108" i="13"/>
  <c r="AI85" i="13"/>
  <c r="AI78" i="13"/>
  <c r="AI82" i="13"/>
  <c r="AI28" i="13"/>
  <c r="AI103" i="13"/>
  <c r="AI81" i="13"/>
  <c r="AI35" i="13"/>
  <c r="AI31" i="13"/>
  <c r="AI101" i="13"/>
  <c r="AI110" i="13"/>
  <c r="AI52" i="13"/>
  <c r="AI102" i="13"/>
  <c r="AI86" i="13"/>
  <c r="AI79" i="13"/>
  <c r="AI56" i="13"/>
  <c r="AI32" i="13"/>
  <c r="AI34" i="13"/>
  <c r="AI80" i="13"/>
  <c r="AI29" i="13"/>
  <c r="AI57" i="13"/>
  <c r="AI77" i="13"/>
  <c r="AI54" i="13"/>
  <c r="AI106" i="13"/>
  <c r="AI105" i="13"/>
  <c r="AI84" i="13"/>
  <c r="AI109" i="13"/>
  <c r="AI36" i="13"/>
  <c r="AI76" i="13"/>
  <c r="AI27" i="13"/>
  <c r="AI107" i="13"/>
  <c r="AI58" i="13"/>
  <c r="AI83" i="13"/>
  <c r="AI33" i="13"/>
  <c r="AI30" i="13"/>
  <c r="AI104" i="13"/>
  <c r="AI59" i="13"/>
  <c r="AI26" i="13"/>
  <c r="AI61" i="13"/>
  <c r="AI53" i="13"/>
  <c r="AI60" i="13"/>
  <c r="U109" i="13"/>
  <c r="U85" i="13"/>
  <c r="U82" i="13"/>
  <c r="U55" i="13"/>
  <c r="U59" i="13"/>
  <c r="U52" i="13"/>
  <c r="U28" i="13"/>
  <c r="U84" i="13"/>
  <c r="U26" i="13"/>
  <c r="U101" i="13"/>
  <c r="U78" i="13"/>
  <c r="U107" i="13"/>
  <c r="U103" i="13"/>
  <c r="U86" i="13"/>
  <c r="U81" i="13"/>
  <c r="U110" i="13"/>
  <c r="U60" i="13"/>
  <c r="U53" i="13"/>
  <c r="U57" i="13"/>
  <c r="U76" i="13"/>
  <c r="U31" i="13"/>
  <c r="U36" i="13"/>
  <c r="U27" i="13"/>
  <c r="U56" i="13"/>
  <c r="U51" i="13"/>
  <c r="U83" i="13"/>
  <c r="U111" i="13"/>
  <c r="U30" i="13"/>
  <c r="U35" i="13"/>
  <c r="U108" i="13"/>
  <c r="U80" i="13"/>
  <c r="U102" i="13"/>
  <c r="U32" i="13"/>
  <c r="U77" i="13"/>
  <c r="U104" i="13"/>
  <c r="U54" i="13"/>
  <c r="U79" i="13"/>
  <c r="U29" i="13"/>
  <c r="U106" i="13"/>
  <c r="U58" i="13"/>
  <c r="U33" i="13"/>
  <c r="U34" i="13"/>
  <c r="U61" i="13"/>
  <c r="U105" i="13"/>
  <c r="P80" i="13"/>
  <c r="P104" i="13"/>
  <c r="P61" i="13"/>
  <c r="P54" i="13"/>
  <c r="P109" i="13"/>
  <c r="P111" i="13"/>
  <c r="P103" i="13"/>
  <c r="P102" i="13"/>
  <c r="P86" i="13"/>
  <c r="P79" i="13"/>
  <c r="P27" i="13"/>
  <c r="P106" i="13"/>
  <c r="P56" i="13"/>
  <c r="P58" i="13"/>
  <c r="P51" i="13"/>
  <c r="P35" i="13"/>
  <c r="P34" i="13"/>
  <c r="P101" i="13"/>
  <c r="P107" i="13"/>
  <c r="P83" i="13"/>
  <c r="P76" i="13"/>
  <c r="P33" i="13"/>
  <c r="P110" i="13"/>
  <c r="P53" i="13"/>
  <c r="P105" i="13"/>
  <c r="P108" i="13"/>
  <c r="P78" i="13"/>
  <c r="P60" i="13"/>
  <c r="P29" i="13"/>
  <c r="P30" i="13"/>
  <c r="P52" i="13"/>
  <c r="P57" i="13"/>
  <c r="P82" i="13"/>
  <c r="P59" i="13"/>
  <c r="P28" i="13"/>
  <c r="P36" i="13"/>
  <c r="P84" i="13"/>
  <c r="P26" i="13"/>
  <c r="P81" i="13"/>
  <c r="P32" i="13"/>
  <c r="P85" i="13"/>
  <c r="P55" i="13"/>
  <c r="P31" i="13"/>
  <c r="P77" i="13"/>
  <c r="J108" i="13"/>
  <c r="J85" i="13"/>
  <c r="J78" i="13"/>
  <c r="J111" i="13"/>
  <c r="J30" i="13"/>
  <c r="J27" i="13"/>
  <c r="J56" i="13"/>
  <c r="J58" i="13"/>
  <c r="J51" i="13"/>
  <c r="J35" i="13"/>
  <c r="J102" i="13"/>
  <c r="J86" i="13"/>
  <c r="J79" i="13"/>
  <c r="J101" i="13"/>
  <c r="J109" i="13"/>
  <c r="J31" i="13"/>
  <c r="J82" i="13"/>
  <c r="J55" i="13"/>
  <c r="J59" i="13"/>
  <c r="J52" i="13"/>
  <c r="J28" i="13"/>
  <c r="J84" i="13"/>
  <c r="J26" i="13"/>
  <c r="J34" i="13"/>
  <c r="J80" i="13"/>
  <c r="J61" i="13"/>
  <c r="J36" i="13"/>
  <c r="J77" i="13"/>
  <c r="J106" i="13"/>
  <c r="J54" i="13"/>
  <c r="J33" i="13"/>
  <c r="J81" i="13"/>
  <c r="J105" i="13"/>
  <c r="J76" i="13"/>
  <c r="J29" i="13"/>
  <c r="J107" i="13"/>
  <c r="J110" i="13"/>
  <c r="J53" i="13"/>
  <c r="J57" i="13"/>
  <c r="J32" i="13"/>
  <c r="J104" i="13"/>
  <c r="J83" i="13"/>
  <c r="J103" i="13"/>
  <c r="J60" i="13"/>
  <c r="AF233" i="5"/>
  <c r="AF308" i="5"/>
  <c r="AF9" i="9"/>
  <c r="AF13" i="9" s="1"/>
  <c r="AF25" i="9" s="1"/>
  <c r="AF231" i="5"/>
  <c r="AD83" i="13"/>
  <c r="AD76" i="13"/>
  <c r="AD33" i="13"/>
  <c r="AD30" i="13"/>
  <c r="AD27" i="13"/>
  <c r="AD106" i="13"/>
  <c r="AD56" i="13"/>
  <c r="AD58" i="13"/>
  <c r="AD51" i="13"/>
  <c r="AD35" i="13"/>
  <c r="AD111" i="13"/>
  <c r="AD57" i="13"/>
  <c r="AD84" i="13"/>
  <c r="AD77" i="13"/>
  <c r="AD26" i="13"/>
  <c r="AD109" i="13"/>
  <c r="AD36" i="13"/>
  <c r="AD82" i="13"/>
  <c r="AD55" i="13"/>
  <c r="AD59" i="13"/>
  <c r="AD52" i="13"/>
  <c r="AD28" i="13"/>
  <c r="AD86" i="13"/>
  <c r="AD32" i="13"/>
  <c r="AD107" i="13"/>
  <c r="AD104" i="13"/>
  <c r="AD54" i="13"/>
  <c r="AD79" i="13"/>
  <c r="AD80" i="13"/>
  <c r="AD105" i="13"/>
  <c r="AD101" i="13"/>
  <c r="AD110" i="13"/>
  <c r="AD53" i="13"/>
  <c r="AD108" i="13"/>
  <c r="AD78" i="13"/>
  <c r="AD103" i="13"/>
  <c r="AD81" i="13"/>
  <c r="AD60" i="13"/>
  <c r="AD31" i="13"/>
  <c r="AD102" i="13"/>
  <c r="AD34" i="13"/>
  <c r="AD61" i="13"/>
  <c r="AD85" i="13"/>
  <c r="AD29" i="13"/>
  <c r="H9" i="9"/>
  <c r="H13" i="9" s="1"/>
  <c r="H25" i="9" s="1"/>
  <c r="H233" i="5"/>
  <c r="H308" i="5"/>
  <c r="H231" i="5"/>
  <c r="Z102" i="13"/>
  <c r="Z86" i="13"/>
  <c r="Z79" i="13"/>
  <c r="Z32" i="13"/>
  <c r="Z34" i="13"/>
  <c r="Z111" i="13"/>
  <c r="Z82" i="13"/>
  <c r="Z55" i="13"/>
  <c r="Z59" i="13"/>
  <c r="Z52" i="13"/>
  <c r="Z28" i="13"/>
  <c r="Z83" i="13"/>
  <c r="Z76" i="13"/>
  <c r="Z33" i="13"/>
  <c r="Z30" i="13"/>
  <c r="Z27" i="13"/>
  <c r="Z101" i="13"/>
  <c r="Z81" i="13"/>
  <c r="Z110" i="13"/>
  <c r="Z60" i="13"/>
  <c r="Z53" i="13"/>
  <c r="Z36" i="13"/>
  <c r="Z108" i="13"/>
  <c r="Z78" i="13"/>
  <c r="Z103" i="13"/>
  <c r="Z106" i="13"/>
  <c r="Z58" i="13"/>
  <c r="Z35" i="13"/>
  <c r="Z85" i="13"/>
  <c r="Z29" i="13"/>
  <c r="Z105" i="13"/>
  <c r="Z51" i="13"/>
  <c r="Z77" i="13"/>
  <c r="Z107" i="13"/>
  <c r="Z54" i="13"/>
  <c r="Z84" i="13"/>
  <c r="Z26" i="13"/>
  <c r="Z31" i="13"/>
  <c r="Z80" i="13"/>
  <c r="Z61" i="13"/>
  <c r="Z56" i="13"/>
  <c r="Z57" i="13"/>
  <c r="Z109" i="13"/>
  <c r="Z104" i="13"/>
  <c r="R57" i="13"/>
  <c r="R84" i="13"/>
  <c r="R77" i="13"/>
  <c r="R26" i="13"/>
  <c r="R30" i="13"/>
  <c r="R27" i="13"/>
  <c r="R107" i="13"/>
  <c r="R80" i="13"/>
  <c r="R104" i="13"/>
  <c r="R61" i="13"/>
  <c r="R54" i="13"/>
  <c r="R108" i="13"/>
  <c r="R85" i="13"/>
  <c r="R78" i="13"/>
  <c r="R36" i="13"/>
  <c r="R109" i="13"/>
  <c r="R105" i="13"/>
  <c r="R106" i="13"/>
  <c r="R56" i="13"/>
  <c r="R58" i="13"/>
  <c r="R51" i="13"/>
  <c r="R35" i="13"/>
  <c r="R83" i="13"/>
  <c r="R33" i="13"/>
  <c r="R34" i="13"/>
  <c r="R81" i="13"/>
  <c r="R60" i="13"/>
  <c r="R31" i="13"/>
  <c r="R32" i="13"/>
  <c r="R110" i="13"/>
  <c r="R102" i="13"/>
  <c r="R103" i="13"/>
  <c r="R28" i="13"/>
  <c r="R86" i="13"/>
  <c r="R29" i="13"/>
  <c r="R111" i="13"/>
  <c r="R55" i="13"/>
  <c r="R52" i="13"/>
  <c r="R76" i="13"/>
  <c r="R101" i="13"/>
  <c r="R53" i="13"/>
  <c r="R79" i="13"/>
  <c r="R82" i="13"/>
  <c r="R59" i="13"/>
  <c r="AC109" i="13"/>
  <c r="AC108" i="13"/>
  <c r="AC86" i="13"/>
  <c r="AC33" i="13"/>
  <c r="AC80" i="13"/>
  <c r="AC104" i="13"/>
  <c r="AC61" i="13"/>
  <c r="AC54" i="13"/>
  <c r="AC31" i="13"/>
  <c r="AC36" i="13"/>
  <c r="AC26" i="13"/>
  <c r="AC107" i="13"/>
  <c r="AC103" i="13"/>
  <c r="AC102" i="13"/>
  <c r="AC76" i="13"/>
  <c r="AC106" i="13"/>
  <c r="AC56" i="13"/>
  <c r="AC58" i="13"/>
  <c r="AC51" i="13"/>
  <c r="AC35" i="13"/>
  <c r="AC105" i="13"/>
  <c r="AC29" i="13"/>
  <c r="AC30" i="13"/>
  <c r="AC85" i="13"/>
  <c r="AC81" i="13"/>
  <c r="AC60" i="13"/>
  <c r="AC57" i="13"/>
  <c r="AC77" i="13"/>
  <c r="AC79" i="13"/>
  <c r="AC53" i="13"/>
  <c r="AC32" i="13"/>
  <c r="AC82" i="13"/>
  <c r="AC28" i="13"/>
  <c r="AC34" i="13"/>
  <c r="AC78" i="13"/>
  <c r="AC55" i="13"/>
  <c r="AC52" i="13"/>
  <c r="AC111" i="13"/>
  <c r="AC27" i="13"/>
  <c r="AC110" i="13"/>
  <c r="AC101" i="13"/>
  <c r="AC84" i="13"/>
  <c r="AC59" i="13"/>
  <c r="AC83" i="13"/>
  <c r="I103" i="13"/>
  <c r="I85" i="13"/>
  <c r="I107" i="13"/>
  <c r="I80" i="13"/>
  <c r="I104" i="13"/>
  <c r="I61" i="13"/>
  <c r="I54" i="13"/>
  <c r="I26" i="13"/>
  <c r="I101" i="13"/>
  <c r="I102" i="13"/>
  <c r="I79" i="13"/>
  <c r="I32" i="13"/>
  <c r="I34" i="13"/>
  <c r="I86" i="13"/>
  <c r="I106" i="13"/>
  <c r="F156" i="13" s="1"/>
  <c r="I56" i="13"/>
  <c r="I58" i="13"/>
  <c r="I51" i="13"/>
  <c r="I35" i="13"/>
  <c r="I31" i="13"/>
  <c r="I36" i="13"/>
  <c r="I84" i="13"/>
  <c r="I83" i="13"/>
  <c r="I81" i="13"/>
  <c r="I60" i="13"/>
  <c r="I57" i="13"/>
  <c r="I108" i="13"/>
  <c r="I33" i="13"/>
  <c r="I53" i="13"/>
  <c r="I77" i="13"/>
  <c r="I27" i="13"/>
  <c r="I59" i="13"/>
  <c r="I29" i="13"/>
  <c r="I30" i="13"/>
  <c r="I78" i="13"/>
  <c r="I55" i="13"/>
  <c r="I52" i="13"/>
  <c r="I105" i="13"/>
  <c r="I76" i="13"/>
  <c r="I109" i="13"/>
  <c r="E159" i="13" s="1"/>
  <c r="I159" i="13" s="1"/>
  <c r="I110" i="13"/>
  <c r="I111" i="13"/>
  <c r="I82" i="13"/>
  <c r="I28" i="13"/>
  <c r="K9" i="9"/>
  <c r="K13" i="9" s="1"/>
  <c r="K25" i="9" s="1"/>
  <c r="K233" i="5"/>
  <c r="K308" i="5"/>
  <c r="K231" i="5"/>
  <c r="B322" i="5"/>
  <c r="G105" i="13"/>
  <c r="F155" i="13" s="1"/>
  <c r="G36" i="13"/>
  <c r="G57" i="13"/>
  <c r="G85" i="13"/>
  <c r="G78" i="13"/>
  <c r="G107" i="13"/>
  <c r="G110" i="13"/>
  <c r="G60" i="13"/>
  <c r="G35" i="13"/>
  <c r="G109" i="13"/>
  <c r="G80" i="13"/>
  <c r="G29" i="13"/>
  <c r="G108" i="13"/>
  <c r="F158" i="13" s="1"/>
  <c r="G86" i="13"/>
  <c r="G79" i="13"/>
  <c r="G51" i="13"/>
  <c r="G28" i="13"/>
  <c r="G34" i="13"/>
  <c r="G55" i="13"/>
  <c r="G61" i="13"/>
  <c r="G111" i="13"/>
  <c r="E161" i="13" s="1"/>
  <c r="G58" i="13"/>
  <c r="G84" i="13"/>
  <c r="G26" i="13"/>
  <c r="G59" i="13"/>
  <c r="G30" i="13"/>
  <c r="G81" i="13"/>
  <c r="G31" i="13"/>
  <c r="G102" i="13"/>
  <c r="E152" i="13" s="1"/>
  <c r="G77" i="13"/>
  <c r="G53" i="13"/>
  <c r="G103" i="13"/>
  <c r="E153" i="13" s="1"/>
  <c r="G82" i="13"/>
  <c r="G83" i="13"/>
  <c r="G27" i="13"/>
  <c r="G101" i="13"/>
  <c r="E151" i="13" s="1"/>
  <c r="G76" i="13"/>
  <c r="G106" i="13"/>
  <c r="G52" i="13"/>
  <c r="G104" i="13"/>
  <c r="F154" i="13" s="1"/>
  <c r="G56" i="13"/>
  <c r="G33" i="13"/>
  <c r="G32" i="13"/>
  <c r="G54" i="13"/>
  <c r="E10" i="13"/>
  <c r="M248" i="5"/>
  <c r="D24" i="7" s="1"/>
  <c r="D10" i="13"/>
  <c r="C11" i="13"/>
  <c r="F10" i="13"/>
  <c r="C10" i="13"/>
  <c r="M247" i="5"/>
  <c r="D23" i="7" s="1"/>
  <c r="W9" i="9"/>
  <c r="W13" i="9" s="1"/>
  <c r="W25" i="9" s="1"/>
  <c r="W233" i="5"/>
  <c r="W308" i="5"/>
  <c r="W231" i="5"/>
  <c r="AF81" i="13"/>
  <c r="AF110" i="13"/>
  <c r="AF60" i="13"/>
  <c r="AF53" i="13"/>
  <c r="AF32" i="13"/>
  <c r="AF111" i="13"/>
  <c r="AF30" i="13"/>
  <c r="AF108" i="13"/>
  <c r="AF85" i="13"/>
  <c r="AF78" i="13"/>
  <c r="AF103" i="13"/>
  <c r="AF80" i="13"/>
  <c r="AF104" i="13"/>
  <c r="AF61" i="13"/>
  <c r="AF54" i="13"/>
  <c r="AF27" i="13"/>
  <c r="AF101" i="13"/>
  <c r="AF109" i="13"/>
  <c r="AF102" i="13"/>
  <c r="AF86" i="13"/>
  <c r="AF79" i="13"/>
  <c r="AF34" i="13"/>
  <c r="AF55" i="13"/>
  <c r="AF52" i="13"/>
  <c r="AF105" i="13"/>
  <c r="AF57" i="13"/>
  <c r="AF77" i="13"/>
  <c r="AF59" i="13"/>
  <c r="AF29" i="13"/>
  <c r="AF26" i="13"/>
  <c r="AF51" i="13"/>
  <c r="AF107" i="13"/>
  <c r="AF106" i="13"/>
  <c r="AF58" i="13"/>
  <c r="AF35" i="13"/>
  <c r="AF36" i="13"/>
  <c r="AF83" i="13"/>
  <c r="AF33" i="13"/>
  <c r="AF82" i="13"/>
  <c r="AF28" i="13"/>
  <c r="AF84" i="13"/>
  <c r="AF56" i="13"/>
  <c r="AF31" i="13"/>
  <c r="AF76" i="13"/>
  <c r="X80" i="13"/>
  <c r="X104" i="13"/>
  <c r="X61" i="13"/>
  <c r="X54" i="13"/>
  <c r="X105" i="13"/>
  <c r="X29" i="13"/>
  <c r="X34" i="13"/>
  <c r="X102" i="13"/>
  <c r="X86" i="13"/>
  <c r="X79" i="13"/>
  <c r="X27" i="13"/>
  <c r="X106" i="13"/>
  <c r="X56" i="13"/>
  <c r="X58" i="13"/>
  <c r="X51" i="13"/>
  <c r="X35" i="13"/>
  <c r="X111" i="13"/>
  <c r="X30" i="13"/>
  <c r="X107" i="13"/>
  <c r="X83" i="13"/>
  <c r="X76" i="13"/>
  <c r="X33" i="13"/>
  <c r="X110" i="13"/>
  <c r="X53" i="13"/>
  <c r="X36" i="13"/>
  <c r="X108" i="13"/>
  <c r="X78" i="13"/>
  <c r="X81" i="13"/>
  <c r="X31" i="13"/>
  <c r="X85" i="13"/>
  <c r="X55" i="13"/>
  <c r="X52" i="13"/>
  <c r="X57" i="13"/>
  <c r="X82" i="13"/>
  <c r="X59" i="13"/>
  <c r="X28" i="13"/>
  <c r="X109" i="13"/>
  <c r="X84" i="13"/>
  <c r="X26" i="13"/>
  <c r="X60" i="13"/>
  <c r="X103" i="13"/>
  <c r="X32" i="13"/>
  <c r="X101" i="13"/>
  <c r="X77" i="13"/>
  <c r="V83" i="13"/>
  <c r="V76" i="13"/>
  <c r="V33" i="13"/>
  <c r="V32" i="13"/>
  <c r="V34" i="13"/>
  <c r="V107" i="13"/>
  <c r="V80" i="13"/>
  <c r="V104" i="13"/>
  <c r="V61" i="13"/>
  <c r="V54" i="13"/>
  <c r="V101" i="13"/>
  <c r="V57" i="13"/>
  <c r="V84" i="13"/>
  <c r="V77" i="13"/>
  <c r="V26" i="13"/>
  <c r="V30" i="13"/>
  <c r="V27" i="13"/>
  <c r="V106" i="13"/>
  <c r="V56" i="13"/>
  <c r="V58" i="13"/>
  <c r="V51" i="13"/>
  <c r="V35" i="13"/>
  <c r="V86" i="13"/>
  <c r="V111" i="13"/>
  <c r="V29" i="13"/>
  <c r="V110" i="13"/>
  <c r="V53" i="13"/>
  <c r="V102" i="13"/>
  <c r="V103" i="13"/>
  <c r="V60" i="13"/>
  <c r="V85" i="13"/>
  <c r="V36" i="13"/>
  <c r="V52" i="13"/>
  <c r="V108" i="13"/>
  <c r="V78" i="13"/>
  <c r="V109" i="13"/>
  <c r="V82" i="13"/>
  <c r="V59" i="13"/>
  <c r="V28" i="13"/>
  <c r="V79" i="13"/>
  <c r="V81" i="13"/>
  <c r="V105" i="13"/>
  <c r="V31" i="13"/>
  <c r="V55" i="13"/>
  <c r="U9" i="9"/>
  <c r="U13" i="9" s="1"/>
  <c r="U25" i="9" s="1"/>
  <c r="U308" i="5"/>
  <c r="U233" i="5"/>
  <c r="U231" i="5"/>
  <c r="S111" i="13"/>
  <c r="S56" i="13"/>
  <c r="S83" i="13"/>
  <c r="S76" i="13"/>
  <c r="S33" i="13"/>
  <c r="S81" i="13"/>
  <c r="S59" i="13"/>
  <c r="S52" i="13"/>
  <c r="S32" i="13"/>
  <c r="S34" i="13"/>
  <c r="S54" i="13"/>
  <c r="S31" i="13"/>
  <c r="S101" i="13"/>
  <c r="S57" i="13"/>
  <c r="S84" i="13"/>
  <c r="S77" i="13"/>
  <c r="S26" i="13"/>
  <c r="S80" i="13"/>
  <c r="S60" i="13"/>
  <c r="S53" i="13"/>
  <c r="S30" i="13"/>
  <c r="S27" i="13"/>
  <c r="S29" i="13"/>
  <c r="S86" i="13"/>
  <c r="S82" i="13"/>
  <c r="S51" i="13"/>
  <c r="S103" i="13"/>
  <c r="S105" i="13"/>
  <c r="S79" i="13"/>
  <c r="S28" i="13"/>
  <c r="S85" i="13"/>
  <c r="S61" i="13"/>
  <c r="S107" i="13"/>
  <c r="S108" i="13"/>
  <c r="S78" i="13"/>
  <c r="S104" i="13"/>
  <c r="S35" i="13"/>
  <c r="S55" i="13"/>
  <c r="S102" i="13"/>
  <c r="F152" i="13" s="1"/>
  <c r="S58" i="13"/>
  <c r="S110" i="13"/>
  <c r="S36" i="13"/>
  <c r="S106" i="13"/>
  <c r="E156" i="13" s="1"/>
  <c r="I156" i="13" s="1"/>
  <c r="S109" i="13"/>
  <c r="AH9" i="9"/>
  <c r="AH13" i="9" s="1"/>
  <c r="AH25" i="9" s="1"/>
  <c r="AH308" i="5"/>
  <c r="AH233" i="5"/>
  <c r="AH231" i="5"/>
  <c r="D9" i="9"/>
  <c r="D13" i="9" s="1"/>
  <c r="D25" i="9" s="1"/>
  <c r="D26" i="9" s="1"/>
  <c r="D301" i="5" s="1"/>
  <c r="D300" i="5" s="1"/>
  <c r="D308" i="5"/>
  <c r="D233" i="5"/>
  <c r="D231" i="5"/>
  <c r="G48" i="9"/>
  <c r="H48" i="9" s="1"/>
  <c r="I48" i="9" s="1"/>
  <c r="J48" i="9" s="1"/>
  <c r="K48" i="9" s="1"/>
  <c r="L48" i="9" s="1"/>
  <c r="M48" i="9" s="1"/>
  <c r="N48" i="9" s="1"/>
  <c r="O48" i="9" s="1"/>
  <c r="P48" i="9" s="1"/>
  <c r="Q48" i="9" s="1"/>
  <c r="R48" i="9" s="1"/>
  <c r="S48" i="9" s="1"/>
  <c r="T48" i="9" s="1"/>
  <c r="U48" i="9" s="1"/>
  <c r="V48" i="9" s="1"/>
  <c r="W48" i="9" s="1"/>
  <c r="X48" i="9" s="1"/>
  <c r="Y48" i="9" s="1"/>
  <c r="Z48" i="9" s="1"/>
  <c r="AA48" i="9" s="1"/>
  <c r="AB48" i="9" s="1"/>
  <c r="AC48" i="9" s="1"/>
  <c r="AD48" i="9" s="1"/>
  <c r="AE48" i="9" s="1"/>
  <c r="AF48" i="9" s="1"/>
  <c r="AG48" i="9" s="1"/>
  <c r="AH48" i="9" s="1"/>
  <c r="V233" i="5"/>
  <c r="V9" i="9"/>
  <c r="V13" i="9" s="1"/>
  <c r="V25" i="9" s="1"/>
  <c r="V308" i="5"/>
  <c r="V231" i="5"/>
  <c r="J9" i="9"/>
  <c r="J13" i="9" s="1"/>
  <c r="J25" i="9" s="1"/>
  <c r="J308" i="5"/>
  <c r="J233" i="5"/>
  <c r="J231" i="5"/>
  <c r="K101" i="13"/>
  <c r="K56" i="13"/>
  <c r="K53" i="13"/>
  <c r="K83" i="13"/>
  <c r="K76" i="13"/>
  <c r="K33" i="13"/>
  <c r="K80" i="13"/>
  <c r="K61" i="13"/>
  <c r="K30" i="13"/>
  <c r="K27" i="13"/>
  <c r="K35" i="13"/>
  <c r="K31" i="13"/>
  <c r="K36" i="13"/>
  <c r="K59" i="13"/>
  <c r="K57" i="13"/>
  <c r="K84" i="13"/>
  <c r="K77" i="13"/>
  <c r="K26" i="13"/>
  <c r="K55" i="13"/>
  <c r="K54" i="13"/>
  <c r="K109" i="13"/>
  <c r="F159" i="13" s="1"/>
  <c r="K82" i="13"/>
  <c r="K107" i="13"/>
  <c r="K102" i="13"/>
  <c r="K79" i="13"/>
  <c r="K58" i="13"/>
  <c r="K34" i="13"/>
  <c r="K52" i="13"/>
  <c r="K81" i="13"/>
  <c r="K51" i="13"/>
  <c r="K104" i="13"/>
  <c r="K105" i="13"/>
  <c r="K60" i="13"/>
  <c r="K85" i="13"/>
  <c r="K106" i="13"/>
  <c r="K28" i="13"/>
  <c r="K110" i="13"/>
  <c r="K111" i="13"/>
  <c r="K86" i="13"/>
  <c r="K32" i="13"/>
  <c r="K29" i="13"/>
  <c r="K108" i="13"/>
  <c r="K78" i="13"/>
  <c r="K103" i="13"/>
  <c r="E48" i="9"/>
  <c r="AG109" i="13"/>
  <c r="AG57" i="13"/>
  <c r="AG81" i="13"/>
  <c r="AG110" i="13"/>
  <c r="AG60" i="13"/>
  <c r="AG53" i="13"/>
  <c r="AG108" i="13"/>
  <c r="AG85" i="13"/>
  <c r="AG105" i="13"/>
  <c r="AG29" i="13"/>
  <c r="AG33" i="13"/>
  <c r="AG107" i="13"/>
  <c r="AG103" i="13"/>
  <c r="AG77" i="13"/>
  <c r="AG80" i="13"/>
  <c r="AG104" i="13"/>
  <c r="AG61" i="13"/>
  <c r="AG54" i="13"/>
  <c r="AG102" i="13"/>
  <c r="AG79" i="13"/>
  <c r="AG111" i="13"/>
  <c r="AG86" i="13"/>
  <c r="AG30" i="13"/>
  <c r="AG82" i="13"/>
  <c r="AG59" i="13"/>
  <c r="AG28" i="13"/>
  <c r="AG31" i="13"/>
  <c r="AG78" i="13"/>
  <c r="AG27" i="13"/>
  <c r="AG52" i="13"/>
  <c r="AG36" i="13"/>
  <c r="AG32" i="13"/>
  <c r="AG58" i="13"/>
  <c r="AG26" i="13"/>
  <c r="AG34" i="13"/>
  <c r="AG56" i="13"/>
  <c r="AG51" i="13"/>
  <c r="AG83" i="13"/>
  <c r="AG101" i="13"/>
  <c r="AG55" i="13"/>
  <c r="AG84" i="13"/>
  <c r="AG106" i="13"/>
  <c r="AG35" i="13"/>
  <c r="AG76" i="13"/>
  <c r="N184" i="5"/>
  <c r="O184" i="5" s="1"/>
  <c r="P184" i="5" s="1"/>
  <c r="Q184" i="5" s="1"/>
  <c r="R184" i="5" s="1"/>
  <c r="S184" i="5" s="1"/>
  <c r="T184" i="5" s="1"/>
  <c r="U184" i="5" s="1"/>
  <c r="V184" i="5" s="1"/>
  <c r="W184" i="5" s="1"/>
  <c r="X184" i="5" s="1"/>
  <c r="Y184" i="5" s="1"/>
  <c r="Z184" i="5" s="1"/>
  <c r="AA184" i="5" s="1"/>
  <c r="AB184" i="5" s="1"/>
  <c r="AC184" i="5" s="1"/>
  <c r="AD184" i="5" s="1"/>
  <c r="AE184" i="5" s="1"/>
  <c r="AF184" i="5" s="1"/>
  <c r="AG184" i="5" s="1"/>
  <c r="AH184" i="5" s="1"/>
  <c r="H82" i="13"/>
  <c r="H55" i="13"/>
  <c r="H59" i="13"/>
  <c r="H52" i="13"/>
  <c r="H28" i="13"/>
  <c r="H31" i="13"/>
  <c r="H101" i="13"/>
  <c r="H102" i="13"/>
  <c r="H86" i="13"/>
  <c r="H79" i="13"/>
  <c r="H27" i="13"/>
  <c r="H81" i="13"/>
  <c r="H110" i="13"/>
  <c r="E160" i="13" s="1"/>
  <c r="I160" i="13" s="1"/>
  <c r="H60" i="13"/>
  <c r="H53" i="13"/>
  <c r="H32" i="13"/>
  <c r="H105" i="13"/>
  <c r="H36" i="13"/>
  <c r="H83" i="13"/>
  <c r="H76" i="13"/>
  <c r="H33" i="13"/>
  <c r="H56" i="13"/>
  <c r="H51" i="13"/>
  <c r="H34" i="13"/>
  <c r="H103" i="13"/>
  <c r="H85" i="13"/>
  <c r="H30" i="13"/>
  <c r="H106" i="13"/>
  <c r="H35" i="13"/>
  <c r="H61" i="13"/>
  <c r="H29" i="13"/>
  <c r="H26" i="13"/>
  <c r="H107" i="13"/>
  <c r="E157" i="13" s="1"/>
  <c r="I157" i="13" s="1"/>
  <c r="H104" i="13"/>
  <c r="H54" i="13"/>
  <c r="H111" i="13"/>
  <c r="H57" i="13"/>
  <c r="H77" i="13"/>
  <c r="H58" i="13"/>
  <c r="H108" i="13"/>
  <c r="H78" i="13"/>
  <c r="H80" i="13"/>
  <c r="H109" i="13"/>
  <c r="H84" i="13"/>
  <c r="AA233" i="5"/>
  <c r="AA308" i="5"/>
  <c r="AA9" i="9"/>
  <c r="AA13" i="9" s="1"/>
  <c r="AA25" i="9" s="1"/>
  <c r="AA231" i="5"/>
  <c r="W107" i="13"/>
  <c r="F157" i="13" s="1"/>
  <c r="W36" i="13"/>
  <c r="W59" i="13"/>
  <c r="W53" i="13"/>
  <c r="W102" i="13"/>
  <c r="W86" i="13"/>
  <c r="W79" i="13"/>
  <c r="W55" i="13"/>
  <c r="W30" i="13"/>
  <c r="W27" i="13"/>
  <c r="W104" i="13"/>
  <c r="W105" i="13"/>
  <c r="W29" i="13"/>
  <c r="W60" i="13"/>
  <c r="W28" i="13"/>
  <c r="W83" i="13"/>
  <c r="W76" i="13"/>
  <c r="W33" i="13"/>
  <c r="W110" i="13"/>
  <c r="W109" i="13"/>
  <c r="W82" i="13"/>
  <c r="W51" i="13"/>
  <c r="W101" i="13"/>
  <c r="W52" i="13"/>
  <c r="W85" i="13"/>
  <c r="W56" i="13"/>
  <c r="W34" i="13"/>
  <c r="W58" i="13"/>
  <c r="W78" i="13"/>
  <c r="W80" i="13"/>
  <c r="W111" i="13"/>
  <c r="W84" i="13"/>
  <c r="W103" i="13"/>
  <c r="W106" i="13"/>
  <c r="W57" i="13"/>
  <c r="W77" i="13"/>
  <c r="W54" i="13"/>
  <c r="W81" i="13"/>
  <c r="W31" i="13"/>
  <c r="W108" i="13"/>
  <c r="W32" i="13"/>
  <c r="W61" i="13"/>
  <c r="W26" i="13"/>
  <c r="W35" i="13"/>
  <c r="G308" i="5"/>
  <c r="G233" i="5"/>
  <c r="G9" i="9"/>
  <c r="G13" i="9" s="1"/>
  <c r="G25" i="9" s="1"/>
  <c r="G231" i="5"/>
  <c r="F48" i="9"/>
  <c r="T82" i="13"/>
  <c r="T55" i="13"/>
  <c r="T59" i="13"/>
  <c r="T52" i="13"/>
  <c r="T28" i="13"/>
  <c r="T111" i="13"/>
  <c r="T27" i="13"/>
  <c r="T102" i="13"/>
  <c r="T86" i="13"/>
  <c r="T79" i="13"/>
  <c r="T109" i="13"/>
  <c r="T81" i="13"/>
  <c r="T110" i="13"/>
  <c r="T60" i="13"/>
  <c r="T53" i="13"/>
  <c r="T32" i="13"/>
  <c r="T101" i="13"/>
  <c r="T107" i="13"/>
  <c r="T83" i="13"/>
  <c r="T76" i="13"/>
  <c r="T33" i="13"/>
  <c r="T103" i="13"/>
  <c r="T106" i="13"/>
  <c r="T58" i="13"/>
  <c r="T35" i="13"/>
  <c r="T29" i="13"/>
  <c r="T85" i="13"/>
  <c r="T30" i="13"/>
  <c r="T56" i="13"/>
  <c r="T105" i="13"/>
  <c r="T78" i="13"/>
  <c r="T104" i="13"/>
  <c r="T36" i="13"/>
  <c r="T26" i="13"/>
  <c r="T80" i="13"/>
  <c r="T61" i="13"/>
  <c r="T31" i="13"/>
  <c r="T57" i="13"/>
  <c r="T77" i="13"/>
  <c r="T34" i="13"/>
  <c r="T51" i="13"/>
  <c r="T108" i="13"/>
  <c r="T54" i="13"/>
  <c r="T84" i="13"/>
  <c r="F25" i="9"/>
  <c r="B20" i="4"/>
  <c r="C11" i="4"/>
  <c r="B23" i="4"/>
  <c r="C10" i="4"/>
  <c r="I152" i="13" l="1"/>
  <c r="I161" i="13"/>
  <c r="I151" i="13"/>
  <c r="I153" i="13"/>
  <c r="F139" i="13"/>
  <c r="E139" i="13"/>
  <c r="I139" i="13" s="1"/>
  <c r="E141" i="13"/>
  <c r="I141" i="13" s="1"/>
  <c r="F141" i="13"/>
  <c r="E155" i="13"/>
  <c r="I155" i="13" s="1"/>
  <c r="D213" i="5"/>
  <c r="D205" i="5"/>
  <c r="D303" i="5"/>
  <c r="F115" i="13"/>
  <c r="E115" i="13"/>
  <c r="F127" i="13"/>
  <c r="E127" i="13"/>
  <c r="I127" i="13" s="1"/>
  <c r="F136" i="13"/>
  <c r="E136" i="13"/>
  <c r="C13" i="4"/>
  <c r="E158" i="13"/>
  <c r="I158" i="13" s="1"/>
  <c r="D203" i="5"/>
  <c r="E121" i="13"/>
  <c r="I121" i="13" s="1"/>
  <c r="F121" i="13"/>
  <c r="E128" i="13"/>
  <c r="F128" i="13"/>
  <c r="F116" i="13"/>
  <c r="E116" i="13"/>
  <c r="E129" i="13"/>
  <c r="F129" i="13"/>
  <c r="F144" i="13"/>
  <c r="E144" i="13"/>
  <c r="I144" i="13" s="1"/>
  <c r="F147" i="13"/>
  <c r="E147" i="13"/>
  <c r="I147" i="13" s="1"/>
  <c r="F131" i="13"/>
  <c r="E131" i="13"/>
  <c r="I131" i="13" s="1"/>
  <c r="E142" i="13"/>
  <c r="F142" i="13"/>
  <c r="E143" i="13"/>
  <c r="I143" i="13" s="1"/>
  <c r="F143" i="13"/>
  <c r="F133" i="13"/>
  <c r="E133" i="13"/>
  <c r="I133" i="13" s="1"/>
  <c r="B312" i="5"/>
  <c r="C322" i="5"/>
  <c r="F151" i="13"/>
  <c r="E154" i="13"/>
  <c r="I154" i="13" s="1"/>
  <c r="C307" i="5"/>
  <c r="C305" i="5" s="1"/>
  <c r="B4" i="14"/>
  <c r="B301" i="5"/>
  <c r="B300" i="5" s="1"/>
  <c r="E26" i="9"/>
  <c r="E301" i="5" s="1"/>
  <c r="E300" i="5" s="1"/>
  <c r="E132" i="13"/>
  <c r="I132" i="13" s="1"/>
  <c r="F132" i="13"/>
  <c r="F145" i="13"/>
  <c r="E145" i="13"/>
  <c r="I145" i="13" s="1"/>
  <c r="F135" i="13"/>
  <c r="E135" i="13"/>
  <c r="I135" i="13" s="1"/>
  <c r="F117" i="13"/>
  <c r="E117" i="13"/>
  <c r="I117" i="13" s="1"/>
  <c r="F124" i="13"/>
  <c r="E124" i="13"/>
  <c r="I124" i="13" s="1"/>
  <c r="F161" i="13"/>
  <c r="F130" i="13"/>
  <c r="E130" i="13"/>
  <c r="I130" i="13" s="1"/>
  <c r="F120" i="13"/>
  <c r="E120" i="13"/>
  <c r="I120" i="13" s="1"/>
  <c r="E137" i="13"/>
  <c r="I137" i="13" s="1"/>
  <c r="F137" i="13"/>
  <c r="E118" i="13"/>
  <c r="I118" i="13" s="1"/>
  <c r="F118" i="13"/>
  <c r="F148" i="13"/>
  <c r="E148" i="13"/>
  <c r="I148" i="13" s="1"/>
  <c r="C213" i="5"/>
  <c r="C205" i="5"/>
  <c r="C303" i="5"/>
  <c r="F160" i="13"/>
  <c r="F122" i="13"/>
  <c r="E122" i="13"/>
  <c r="I122" i="13" s="1"/>
  <c r="F146" i="13"/>
  <c r="E146" i="13"/>
  <c r="I146" i="13" s="1"/>
  <c r="F140" i="13"/>
  <c r="E140" i="13"/>
  <c r="I140" i="13" s="1"/>
  <c r="F119" i="13"/>
  <c r="E119" i="13"/>
  <c r="I119" i="13" s="1"/>
  <c r="E134" i="13"/>
  <c r="I134" i="13" s="1"/>
  <c r="F134" i="13"/>
  <c r="E123" i="13"/>
  <c r="I123" i="13" s="1"/>
  <c r="F123" i="13"/>
  <c r="E149" i="13"/>
  <c r="I149" i="13" s="1"/>
  <c r="F149" i="13"/>
  <c r="E125" i="13"/>
  <c r="I125" i="13" s="1"/>
  <c r="F125" i="13"/>
  <c r="C309" i="5"/>
  <c r="D309" i="5" s="1"/>
  <c r="E309" i="5" s="1"/>
  <c r="F309" i="5" s="1"/>
  <c r="B307" i="5"/>
  <c r="B305" i="5" s="1"/>
  <c r="C215" i="5" l="1"/>
  <c r="C229" i="5"/>
  <c r="C219" i="5"/>
  <c r="C310" i="5"/>
  <c r="C316" i="5" s="1"/>
  <c r="D215" i="5"/>
  <c r="D229" i="5"/>
  <c r="D219" i="5"/>
  <c r="B227" i="5"/>
  <c r="B223" i="5"/>
  <c r="E213" i="5"/>
  <c r="E205" i="5"/>
  <c r="E303" i="5"/>
  <c r="E203" i="5"/>
  <c r="C223" i="5"/>
  <c r="C227" i="5"/>
  <c r="C221" i="5"/>
  <c r="G309" i="5"/>
  <c r="F307" i="5"/>
  <c r="F305" i="5" s="1"/>
  <c r="E307" i="5"/>
  <c r="E305" i="5" s="1"/>
  <c r="B213" i="5"/>
  <c r="B205" i="5"/>
  <c r="B303" i="5"/>
  <c r="I142" i="13"/>
  <c r="I129" i="13"/>
  <c r="I128" i="13"/>
  <c r="I136" i="13"/>
  <c r="I115" i="13"/>
  <c r="F26" i="9"/>
  <c r="D307" i="5"/>
  <c r="D305" i="5" s="1"/>
  <c r="D310" i="5" s="1"/>
  <c r="D322" i="5"/>
  <c r="C312" i="5"/>
  <c r="I116" i="13"/>
  <c r="E223" i="5" l="1"/>
  <c r="E227" i="5"/>
  <c r="D312" i="5"/>
  <c r="E322" i="5"/>
  <c r="B215" i="5"/>
  <c r="B229" i="5"/>
  <c r="B219" i="5"/>
  <c r="B310" i="5"/>
  <c r="F227" i="5"/>
  <c r="F223" i="5"/>
  <c r="F301" i="5"/>
  <c r="F300" i="5" s="1"/>
  <c r="G26" i="9"/>
  <c r="E219" i="5"/>
  <c r="E229" i="5"/>
  <c r="E310" i="5"/>
  <c r="E221" i="5" s="1"/>
  <c r="E215" i="5"/>
  <c r="D316" i="5"/>
  <c r="D227" i="5"/>
  <c r="D221" i="5"/>
  <c r="D223" i="5"/>
  <c r="H309" i="5"/>
  <c r="G307" i="5"/>
  <c r="G305" i="5" s="1"/>
  <c r="F213" i="5" l="1"/>
  <c r="F205" i="5"/>
  <c r="F303" i="5"/>
  <c r="F203" i="5"/>
  <c r="B221" i="5"/>
  <c r="B316" i="5"/>
  <c r="G301" i="5"/>
  <c r="G300" i="5" s="1"/>
  <c r="H26" i="9"/>
  <c r="E316" i="5"/>
  <c r="G227" i="5"/>
  <c r="G223" i="5"/>
  <c r="E312" i="5"/>
  <c r="F322" i="5"/>
  <c r="I309" i="5"/>
  <c r="H307" i="5"/>
  <c r="H305" i="5" s="1"/>
  <c r="F219" i="5" l="1"/>
  <c r="F215" i="5"/>
  <c r="F229" i="5"/>
  <c r="F310" i="5"/>
  <c r="J309" i="5"/>
  <c r="I307" i="5"/>
  <c r="I305" i="5" s="1"/>
  <c r="H301" i="5"/>
  <c r="H300" i="5" s="1"/>
  <c r="I26" i="9"/>
  <c r="F312" i="5"/>
  <c r="G322" i="5"/>
  <c r="G205" i="5"/>
  <c r="G213" i="5"/>
  <c r="G303" i="5"/>
  <c r="G203" i="5"/>
  <c r="H223" i="5"/>
  <c r="H227" i="5"/>
  <c r="I301" i="5" l="1"/>
  <c r="I300" i="5" s="1"/>
  <c r="J26" i="9"/>
  <c r="F316" i="5"/>
  <c r="F221" i="5"/>
  <c r="H213" i="5"/>
  <c r="H205" i="5"/>
  <c r="H303" i="5"/>
  <c r="H203" i="5"/>
  <c r="H322" i="5"/>
  <c r="G312" i="5"/>
  <c r="I223" i="5"/>
  <c r="I227" i="5"/>
  <c r="G215" i="5"/>
  <c r="G310" i="5"/>
  <c r="G229" i="5"/>
  <c r="G219" i="5"/>
  <c r="K309" i="5"/>
  <c r="J307" i="5"/>
  <c r="J305" i="5" s="1"/>
  <c r="H310" i="5" l="1"/>
  <c r="H219" i="5"/>
  <c r="H229" i="5"/>
  <c r="H215" i="5"/>
  <c r="J223" i="5"/>
  <c r="J227" i="5"/>
  <c r="G221" i="5"/>
  <c r="G316" i="5"/>
  <c r="L309" i="5"/>
  <c r="K307" i="5"/>
  <c r="K305" i="5" s="1"/>
  <c r="J301" i="5"/>
  <c r="J300" i="5" s="1"/>
  <c r="K26" i="9"/>
  <c r="I322" i="5"/>
  <c r="H312" i="5"/>
  <c r="I205" i="5"/>
  <c r="I213" i="5"/>
  <c r="I303" i="5"/>
  <c r="I203" i="5"/>
  <c r="J322" i="5" l="1"/>
  <c r="I312" i="5"/>
  <c r="M309" i="5"/>
  <c r="L307" i="5"/>
  <c r="L305" i="5" s="1"/>
  <c r="K301" i="5"/>
  <c r="K300" i="5" s="1"/>
  <c r="L26" i="9"/>
  <c r="K223" i="5"/>
  <c r="K227" i="5"/>
  <c r="I215" i="5"/>
  <c r="I219" i="5"/>
  <c r="I229" i="5"/>
  <c r="I310" i="5"/>
  <c r="J205" i="5"/>
  <c r="J213" i="5"/>
  <c r="J303" i="5"/>
  <c r="J203" i="5"/>
  <c r="H316" i="5"/>
  <c r="H221" i="5"/>
  <c r="N309" i="5" l="1"/>
  <c r="M307" i="5"/>
  <c r="M305" i="5" s="1"/>
  <c r="L223" i="5"/>
  <c r="L227" i="5"/>
  <c r="I221" i="5"/>
  <c r="I316" i="5"/>
  <c r="L301" i="5"/>
  <c r="L300" i="5" s="1"/>
  <c r="M26" i="9"/>
  <c r="J229" i="5"/>
  <c r="J310" i="5"/>
  <c r="J215" i="5"/>
  <c r="J219" i="5"/>
  <c r="K213" i="5"/>
  <c r="K205" i="5"/>
  <c r="K303" i="5"/>
  <c r="K203" i="5"/>
  <c r="J312" i="5"/>
  <c r="K322" i="5"/>
  <c r="L322" i="5" l="1"/>
  <c r="K312" i="5"/>
  <c r="J316" i="5"/>
  <c r="J221" i="5"/>
  <c r="M301" i="5"/>
  <c r="M300" i="5" s="1"/>
  <c r="N26" i="9"/>
  <c r="M223" i="5"/>
  <c r="M227" i="5"/>
  <c r="K215" i="5"/>
  <c r="K229" i="5"/>
  <c r="K310" i="5"/>
  <c r="K219" i="5"/>
  <c r="L205" i="5"/>
  <c r="L213" i="5"/>
  <c r="L303" i="5"/>
  <c r="L203" i="5"/>
  <c r="O309" i="5"/>
  <c r="N307" i="5"/>
  <c r="N305" i="5" s="1"/>
  <c r="N223" i="5" l="1"/>
  <c r="N227" i="5"/>
  <c r="P309" i="5"/>
  <c r="O307" i="5"/>
  <c r="O305" i="5" s="1"/>
  <c r="N301" i="5"/>
  <c r="N300" i="5" s="1"/>
  <c r="O26" i="9"/>
  <c r="L219" i="5"/>
  <c r="L229" i="5"/>
  <c r="L310" i="5"/>
  <c r="L215" i="5"/>
  <c r="K316" i="5"/>
  <c r="K221" i="5"/>
  <c r="M205" i="5"/>
  <c r="M213" i="5"/>
  <c r="M303" i="5"/>
  <c r="M203" i="5"/>
  <c r="M322" i="5"/>
  <c r="L312" i="5"/>
  <c r="O301" i="5" l="1"/>
  <c r="O300" i="5" s="1"/>
  <c r="P26" i="9"/>
  <c r="N322" i="5"/>
  <c r="M312" i="5"/>
  <c r="L221" i="5"/>
  <c r="L316" i="5"/>
  <c r="N213" i="5"/>
  <c r="N205" i="5"/>
  <c r="N303" i="5"/>
  <c r="N203" i="5"/>
  <c r="O223" i="5"/>
  <c r="O227" i="5"/>
  <c r="M215" i="5"/>
  <c r="M229" i="5"/>
  <c r="M219" i="5"/>
  <c r="M310" i="5"/>
  <c r="Q309" i="5"/>
  <c r="P307" i="5"/>
  <c r="P305" i="5" s="1"/>
  <c r="M316" i="5" l="1"/>
  <c r="M221" i="5"/>
  <c r="P227" i="5"/>
  <c r="P223" i="5"/>
  <c r="R309" i="5"/>
  <c r="Q307" i="5"/>
  <c r="Q305" i="5" s="1"/>
  <c r="N312" i="5"/>
  <c r="O322" i="5"/>
  <c r="P301" i="5"/>
  <c r="P300" i="5" s="1"/>
  <c r="Q26" i="9"/>
  <c r="N229" i="5"/>
  <c r="N219" i="5"/>
  <c r="N310" i="5"/>
  <c r="N215" i="5"/>
  <c r="O205" i="5"/>
  <c r="O213" i="5"/>
  <c r="O303" i="5"/>
  <c r="O203" i="5"/>
  <c r="O219" i="5" l="1"/>
  <c r="O229" i="5"/>
  <c r="O310" i="5"/>
  <c r="O215" i="5"/>
  <c r="N221" i="5"/>
  <c r="N316" i="5"/>
  <c r="Q301" i="5"/>
  <c r="Q300" i="5" s="1"/>
  <c r="R26" i="9"/>
  <c r="Q227" i="5"/>
  <c r="Q223" i="5"/>
  <c r="P213" i="5"/>
  <c r="P205" i="5"/>
  <c r="P303" i="5"/>
  <c r="P203" i="5"/>
  <c r="S309" i="5"/>
  <c r="R307" i="5"/>
  <c r="R305" i="5" s="1"/>
  <c r="O312" i="5"/>
  <c r="P322" i="5"/>
  <c r="R223" i="5" l="1"/>
  <c r="R227" i="5"/>
  <c r="Q322" i="5"/>
  <c r="P312" i="5"/>
  <c r="R301" i="5"/>
  <c r="R300" i="5" s="1"/>
  <c r="S26" i="9"/>
  <c r="P215" i="5"/>
  <c r="P219" i="5"/>
  <c r="P310" i="5"/>
  <c r="P229" i="5"/>
  <c r="Q205" i="5"/>
  <c r="Q213" i="5"/>
  <c r="Q303" i="5"/>
  <c r="Q203" i="5"/>
  <c r="O316" i="5"/>
  <c r="O221" i="5"/>
  <c r="T309" i="5"/>
  <c r="S307" i="5"/>
  <c r="S305" i="5" s="1"/>
  <c r="U309" i="5" l="1"/>
  <c r="T307" i="5"/>
  <c r="T305" i="5" s="1"/>
  <c r="P316" i="5"/>
  <c r="P221" i="5"/>
  <c r="S227" i="5"/>
  <c r="S223" i="5"/>
  <c r="S301" i="5"/>
  <c r="S300" i="5" s="1"/>
  <c r="T26" i="9"/>
  <c r="Q310" i="5"/>
  <c r="Q219" i="5"/>
  <c r="Q215" i="5"/>
  <c r="Q229" i="5"/>
  <c r="R213" i="5"/>
  <c r="R205" i="5"/>
  <c r="R303" i="5"/>
  <c r="R203" i="5"/>
  <c r="R322" i="5"/>
  <c r="Q312" i="5"/>
  <c r="S322" i="5" l="1"/>
  <c r="R312" i="5"/>
  <c r="Q221" i="5"/>
  <c r="Q316" i="5"/>
  <c r="T301" i="5"/>
  <c r="T300" i="5" s="1"/>
  <c r="U26" i="9"/>
  <c r="T223" i="5"/>
  <c r="T227" i="5"/>
  <c r="R215" i="5"/>
  <c r="R219" i="5"/>
  <c r="R229" i="5"/>
  <c r="R310" i="5"/>
  <c r="S205" i="5"/>
  <c r="S213" i="5"/>
  <c r="S303" i="5"/>
  <c r="S203" i="5"/>
  <c r="V309" i="5"/>
  <c r="U307" i="5"/>
  <c r="U305" i="5" s="1"/>
  <c r="W309" i="5" l="1"/>
  <c r="V307" i="5"/>
  <c r="V305" i="5" s="1"/>
  <c r="U223" i="5"/>
  <c r="U227" i="5"/>
  <c r="R221" i="5"/>
  <c r="R316" i="5"/>
  <c r="U301" i="5"/>
  <c r="U300" i="5" s="1"/>
  <c r="V26" i="9"/>
  <c r="S219" i="5"/>
  <c r="S215" i="5"/>
  <c r="S229" i="5"/>
  <c r="S310" i="5"/>
  <c r="T213" i="5"/>
  <c r="T205" i="5"/>
  <c r="T303" i="5"/>
  <c r="T203" i="5"/>
  <c r="T322" i="5"/>
  <c r="S312" i="5"/>
  <c r="U322" i="5" l="1"/>
  <c r="T312" i="5"/>
  <c r="S221" i="5"/>
  <c r="S316" i="5"/>
  <c r="V301" i="5"/>
  <c r="V300" i="5" s="1"/>
  <c r="W26" i="9"/>
  <c r="V227" i="5"/>
  <c r="V223" i="5"/>
  <c r="T215" i="5"/>
  <c r="T310" i="5"/>
  <c r="T219" i="5"/>
  <c r="T229" i="5"/>
  <c r="U213" i="5"/>
  <c r="U205" i="5"/>
  <c r="U303" i="5"/>
  <c r="U203" i="5"/>
  <c r="X309" i="5"/>
  <c r="W307" i="5"/>
  <c r="W305" i="5" s="1"/>
  <c r="Y309" i="5" l="1"/>
  <c r="X307" i="5"/>
  <c r="X305" i="5" s="1"/>
  <c r="W223" i="5"/>
  <c r="W227" i="5"/>
  <c r="T221" i="5"/>
  <c r="T316" i="5"/>
  <c r="W301" i="5"/>
  <c r="W300" i="5" s="1"/>
  <c r="X26" i="9"/>
  <c r="U219" i="5"/>
  <c r="U215" i="5"/>
  <c r="U229" i="5"/>
  <c r="U310" i="5"/>
  <c r="V205" i="5"/>
  <c r="V213" i="5"/>
  <c r="V303" i="5"/>
  <c r="V203" i="5"/>
  <c r="V322" i="5"/>
  <c r="U312" i="5"/>
  <c r="W322" i="5" l="1"/>
  <c r="V312" i="5"/>
  <c r="U221" i="5"/>
  <c r="U316" i="5"/>
  <c r="X301" i="5"/>
  <c r="X300" i="5" s="1"/>
  <c r="Y26" i="9"/>
  <c r="X223" i="5"/>
  <c r="X227" i="5"/>
  <c r="V310" i="5"/>
  <c r="V219" i="5"/>
  <c r="V215" i="5"/>
  <c r="V229" i="5"/>
  <c r="W205" i="5"/>
  <c r="W213" i="5"/>
  <c r="W303" i="5"/>
  <c r="W203" i="5"/>
  <c r="Z309" i="5"/>
  <c r="Y307" i="5"/>
  <c r="Y305" i="5" s="1"/>
  <c r="AA309" i="5" l="1"/>
  <c r="Z307" i="5"/>
  <c r="Z305" i="5" s="1"/>
  <c r="V221" i="5"/>
  <c r="V316" i="5"/>
  <c r="Y223" i="5"/>
  <c r="Y227" i="5"/>
  <c r="Y301" i="5"/>
  <c r="Y300" i="5" s="1"/>
  <c r="Z26" i="9"/>
  <c r="W310" i="5"/>
  <c r="W215" i="5"/>
  <c r="W219" i="5"/>
  <c r="W229" i="5"/>
  <c r="X213" i="5"/>
  <c r="X205" i="5"/>
  <c r="X303" i="5"/>
  <c r="X203" i="5"/>
  <c r="X322" i="5"/>
  <c r="W312" i="5"/>
  <c r="Y322" i="5" l="1"/>
  <c r="X312" i="5"/>
  <c r="W316" i="5"/>
  <c r="W221" i="5"/>
  <c r="Z301" i="5"/>
  <c r="Z300" i="5" s="1"/>
  <c r="AA26" i="9"/>
  <c r="Z227" i="5"/>
  <c r="Z223" i="5"/>
  <c r="X229" i="5"/>
  <c r="X219" i="5"/>
  <c r="X310" i="5"/>
  <c r="X215" i="5"/>
  <c r="Y213" i="5"/>
  <c r="Y205" i="5"/>
  <c r="Y303" i="5"/>
  <c r="Y203" i="5"/>
  <c r="AB309" i="5"/>
  <c r="AA307" i="5"/>
  <c r="AA305" i="5" s="1"/>
  <c r="AA223" i="5" l="1"/>
  <c r="AA227" i="5"/>
  <c r="AC309" i="5"/>
  <c r="AB307" i="5"/>
  <c r="AB305" i="5" s="1"/>
  <c r="AA301" i="5"/>
  <c r="AA300" i="5" s="1"/>
  <c r="AB26" i="9"/>
  <c r="Y219" i="5"/>
  <c r="Y229" i="5"/>
  <c r="Y310" i="5"/>
  <c r="Y215" i="5"/>
  <c r="X221" i="5"/>
  <c r="X316" i="5"/>
  <c r="Z213" i="5"/>
  <c r="Z205" i="5"/>
  <c r="Z303" i="5"/>
  <c r="Z203" i="5"/>
  <c r="Z322" i="5"/>
  <c r="Y312" i="5"/>
  <c r="AA205" i="5" l="1"/>
  <c r="AA213" i="5"/>
  <c r="AA303" i="5"/>
  <c r="AA203" i="5"/>
  <c r="AB301" i="5"/>
  <c r="AB300" i="5" s="1"/>
  <c r="AC26" i="9"/>
  <c r="AA322" i="5"/>
  <c r="Z312" i="5"/>
  <c r="Y316" i="5"/>
  <c r="Y221" i="5"/>
  <c r="AB223" i="5"/>
  <c r="AB227" i="5"/>
  <c r="Z215" i="5"/>
  <c r="Z229" i="5"/>
  <c r="Z310" i="5"/>
  <c r="Z219" i="5"/>
  <c r="AD309" i="5"/>
  <c r="AC307" i="5"/>
  <c r="AC305" i="5" s="1"/>
  <c r="AA312" i="5" l="1"/>
  <c r="AB322" i="5"/>
  <c r="AC227" i="5"/>
  <c r="AC223" i="5"/>
  <c r="AE309" i="5"/>
  <c r="AD307" i="5"/>
  <c r="AD305" i="5" s="1"/>
  <c r="AA310" i="5"/>
  <c r="AA215" i="5"/>
  <c r="AA219" i="5"/>
  <c r="AA229" i="5"/>
  <c r="AC301" i="5"/>
  <c r="AC300" i="5" s="1"/>
  <c r="AD26" i="9"/>
  <c r="Z316" i="5"/>
  <c r="Z221" i="5"/>
  <c r="AB213" i="5"/>
  <c r="AB205" i="5"/>
  <c r="AB303" i="5"/>
  <c r="AB203" i="5"/>
  <c r="AB229" i="5" l="1"/>
  <c r="AB310" i="5"/>
  <c r="AB219" i="5"/>
  <c r="AB215" i="5"/>
  <c r="AF309" i="5"/>
  <c r="AE307" i="5"/>
  <c r="AE305" i="5" s="1"/>
  <c r="AD223" i="5"/>
  <c r="AD227" i="5"/>
  <c r="AD301" i="5"/>
  <c r="AD300" i="5" s="1"/>
  <c r="AE26" i="9"/>
  <c r="AC322" i="5"/>
  <c r="AB312" i="5"/>
  <c r="AC213" i="5"/>
  <c r="AC205" i="5"/>
  <c r="AC303" i="5"/>
  <c r="AC203" i="5"/>
  <c r="AA316" i="5"/>
  <c r="AA221" i="5"/>
  <c r="AD213" i="5" l="1"/>
  <c r="AD205" i="5"/>
  <c r="AD303" i="5"/>
  <c r="AD203" i="5"/>
  <c r="AE301" i="5"/>
  <c r="AE300" i="5" s="1"/>
  <c r="AF26" i="9"/>
  <c r="AE227" i="5"/>
  <c r="AE223" i="5"/>
  <c r="AB221" i="5"/>
  <c r="AB316" i="5"/>
  <c r="AC310" i="5"/>
  <c r="AC215" i="5"/>
  <c r="AC219" i="5"/>
  <c r="AC229" i="5"/>
  <c r="AD322" i="5"/>
  <c r="AC312" i="5"/>
  <c r="AG309" i="5"/>
  <c r="AF307" i="5"/>
  <c r="AF305" i="5" s="1"/>
  <c r="AF223" i="5" l="1"/>
  <c r="AF227" i="5"/>
  <c r="AH309" i="5"/>
  <c r="AH307" i="5" s="1"/>
  <c r="AH305" i="5" s="1"/>
  <c r="AG307" i="5"/>
  <c r="AG305" i="5" s="1"/>
  <c r="AD229" i="5"/>
  <c r="AD219" i="5"/>
  <c r="AD215" i="5"/>
  <c r="AD310" i="5"/>
  <c r="AF301" i="5"/>
  <c r="AF300" i="5" s="1"/>
  <c r="AG26" i="9"/>
  <c r="AE322" i="5"/>
  <c r="AD312" i="5"/>
  <c r="AC221" i="5"/>
  <c r="AC316" i="5"/>
  <c r="AE213" i="5"/>
  <c r="AE205" i="5"/>
  <c r="AE303" i="5"/>
  <c r="AE203" i="5"/>
  <c r="AE229" i="5" l="1"/>
  <c r="AE310" i="5"/>
  <c r="AE219" i="5"/>
  <c r="AE215" i="5"/>
  <c r="AF205" i="5"/>
  <c r="AF213" i="5"/>
  <c r="AF303" i="5"/>
  <c r="AF203" i="5"/>
  <c r="AG301" i="5"/>
  <c r="AG300" i="5" s="1"/>
  <c r="AH26" i="9"/>
  <c r="AH301" i="5" s="1"/>
  <c r="AH300" i="5" s="1"/>
  <c r="AD221" i="5"/>
  <c r="AD316" i="5"/>
  <c r="AG227" i="5"/>
  <c r="AG223" i="5"/>
  <c r="AE312" i="5"/>
  <c r="AF322" i="5"/>
  <c r="AH227" i="5"/>
  <c r="AH223" i="5"/>
  <c r="AF310" i="5" l="1"/>
  <c r="AF219" i="5"/>
  <c r="AF229" i="5"/>
  <c r="AF215" i="5"/>
  <c r="AH205" i="5"/>
  <c r="AH213" i="5"/>
  <c r="AH303" i="5"/>
  <c r="AG322" i="5"/>
  <c r="AF312" i="5"/>
  <c r="AE316" i="5"/>
  <c r="AE221" i="5"/>
  <c r="AG213" i="5"/>
  <c r="AG205" i="5"/>
  <c r="AG303" i="5"/>
  <c r="AG203" i="5"/>
  <c r="AG219" i="5" l="1"/>
  <c r="AG229" i="5"/>
  <c r="AG215" i="5"/>
  <c r="AG310" i="5"/>
  <c r="AG312" i="5"/>
  <c r="AH322" i="5"/>
  <c r="AH312" i="5" s="1"/>
  <c r="AH219" i="5"/>
  <c r="AH229" i="5"/>
  <c r="AH215" i="5"/>
  <c r="AH310" i="5"/>
  <c r="AF316" i="5"/>
  <c r="AF221" i="5"/>
  <c r="AG221" i="5" l="1"/>
  <c r="AG316" i="5"/>
  <c r="AH316" i="5"/>
  <c r="AH221" i="5"/>
</calcChain>
</file>

<file path=xl/sharedStrings.xml><?xml version="1.0" encoding="utf-8"?>
<sst xmlns="http://schemas.openxmlformats.org/spreadsheetml/2006/main" count="1247" uniqueCount="643">
  <si>
    <t>Ieguldījumu izmaksu kopsumma atbalstāmajās darbībās (EUR, nediskontēta, bez PVN):</t>
  </si>
  <si>
    <t>Ieguldījumu izmaksu kopsumma atbalstāmajās darbībās (EUR, diskontēta, bez PVN):</t>
  </si>
  <si>
    <t>Ieguldījumu attiecināmo izmaksu kopsumma (EUR, nediskontēta)</t>
  </si>
  <si>
    <t>Ieguldījumu attiecināmo izmaksu kopsumma (EUR, diskontēta)</t>
  </si>
  <si>
    <t>Atlikusī vērtība (EUR, nediskontēta)</t>
  </si>
  <si>
    <t>Atlikusī vērtība (EUR, diskontēta)</t>
  </si>
  <si>
    <t>Ieņēmumi (EUR, diskontētie)</t>
  </si>
  <si>
    <t>Darbības izmaksas (EUR, diskontētas)</t>
  </si>
  <si>
    <t>Ieguldījumi</t>
  </si>
  <si>
    <t>`</t>
  </si>
  <si>
    <t>Tīrie ieņēmumi (EUR) = (diskontētie ieņēmumi - diskontētas darbības izmaksas + diskontēta atlikusī vērtība) x (diskontēta ieguldījumu attiecināmo izmaksu kopsumma / diskontēta kopējo ieguldījumu summas atbalstāmajās darbībās) = 
((9)-(10)+(8))x(6)/(4)</t>
  </si>
  <si>
    <t>Attiecināmās izmaksas = ieguldījumu attiecināmās izmaksas - tīrie ieņēmumi (EUR) = (6)-(11)</t>
  </si>
  <si>
    <t>Finansējuma deficīta likme (%) = (12)/(6)</t>
  </si>
  <si>
    <t>Galvenie finanšu analīzes rezultāti</t>
  </si>
  <si>
    <t>Bez Kopienas palīdzības
(FRR/C)
A</t>
  </si>
  <si>
    <t>Ar Kopienas palīdzību
(FRR/K)
B</t>
  </si>
  <si>
    <t>Finansiālā ienesīguma norma (%)</t>
  </si>
  <si>
    <t>Tīrā pašreizējā vērtība (EUR)</t>
  </si>
  <si>
    <t>Kohēzijas fonda ieguldījuma aprēķins</t>
  </si>
  <si>
    <t>Ieguldījumu attiecināmo izmaksu kopsumma, EUR</t>
  </si>
  <si>
    <t>Finansējuma deficīta likme, %</t>
  </si>
  <si>
    <t>Maksimālā priorit. virziena līdzfinansējuma likme</t>
  </si>
  <si>
    <t>Lēmuma summa, EUR</t>
  </si>
  <si>
    <t>KF ieguldījums (% no kopējām attiecināmām izmaksām)</t>
  </si>
  <si>
    <t>Kohēzijas fonda ieguldījums, EUR</t>
  </si>
  <si>
    <t>4=1*2</t>
  </si>
  <si>
    <t>5=6/1</t>
  </si>
  <si>
    <t>6=4*3</t>
  </si>
  <si>
    <t>kopējās investīcijas</t>
  </si>
  <si>
    <t xml:space="preserve">Lēmuma summai ierobežotais KF finansējums </t>
  </si>
  <si>
    <t>7.3.4. Valsts budžeta līdzfinansējuma aprēķins</t>
  </si>
  <si>
    <t>Valsts budžeta līdzfinansējuma aprēķins</t>
  </si>
  <si>
    <t>Finansējuma deficīta likme</t>
  </si>
  <si>
    <t>Valsts budžeta ieguldījums no lēmuma summas</t>
  </si>
  <si>
    <t>Valsts budžeta ieguldījums attiecināmās izmaksās, EUR</t>
  </si>
  <si>
    <t>Valsts budžeta ieguldījums (% no kopējām attiecināmām izmaksām)</t>
  </si>
  <si>
    <t>Projekta iesniedzēja ieguldījums</t>
  </si>
  <si>
    <t>Finansējuma saņēmēja ieguldījums deficīta segšanā, EUR</t>
  </si>
  <si>
    <t>Finansējuma saņēmēja ieguldījums attiecināmās izmaksās</t>
  </si>
  <si>
    <t>Finansējuma saņēmēja ieguldījums attiecināmās izmaksās, EUR</t>
  </si>
  <si>
    <t>Finansējuma saņēmēja ieguldījumus kopā, EUR</t>
  </si>
  <si>
    <t>Projekta finanšu avotu sadalījums</t>
  </si>
  <si>
    <t>Finašu avotu sadalījums kopējām investīciju izmaksām, %</t>
  </si>
  <si>
    <t>Finašu avotu sadalījums kopējām investīciju izmaksām</t>
  </si>
  <si>
    <t>Finašu avotu sadalījums lēmuma summai, %</t>
  </si>
  <si>
    <t>Finanšu avotu sadalījums lēmuma summai</t>
  </si>
  <si>
    <t>Finašu avotu sadalījums neattiecināmām izmaksām, %</t>
  </si>
  <si>
    <t>Finanšu avotu sadalījums neattiecināmām izmaksām</t>
  </si>
  <si>
    <t>Pieteicēja pašu līdzekļi</t>
  </si>
  <si>
    <t>Pieteicēja aizņēmums</t>
  </si>
  <si>
    <t>Kohēzijas fonda (KF) līdzfinansējums</t>
  </si>
  <si>
    <t>Kopējā KF un valsts budžeta atbalsta likme</t>
  </si>
  <si>
    <t>Kopā:</t>
  </si>
  <si>
    <t>Aizdevuma likme</t>
  </si>
  <si>
    <t>Aizņēmuma atmaksas periods (gadi)</t>
  </si>
  <si>
    <t>Saimnieciskās darbības naudas plūsma</t>
  </si>
  <si>
    <t>Saimnieciskās pamatdarbības rezultāts situācijā BEZ projekta</t>
  </si>
  <si>
    <t>Kopā mainīgās izmaksas</t>
  </si>
  <si>
    <t>Kopā fiksētās izmaksas</t>
  </si>
  <si>
    <t>Ieņēmumi</t>
  </si>
  <si>
    <t>Kopā ūdensapgādes pakalpojumi</t>
  </si>
  <si>
    <t>Kopā kanalizācijas pakalpojumi</t>
  </si>
  <si>
    <t>Tarifi</t>
  </si>
  <si>
    <t>Rentabilitāte</t>
  </si>
  <si>
    <t>Esošais nolietojums ūdenssaimniecībai</t>
  </si>
  <si>
    <r>
      <t>Ūdens apjoms mājsaimniecībās, m</t>
    </r>
    <r>
      <rPr>
        <vertAlign val="superscript"/>
        <sz val="10"/>
        <color indexed="8"/>
        <rFont val="Tahoma"/>
        <family val="2"/>
        <charset val="186"/>
      </rPr>
      <t>3</t>
    </r>
    <r>
      <rPr>
        <sz val="10"/>
        <color indexed="8"/>
        <rFont val="Tahoma"/>
        <family val="2"/>
        <charset val="186"/>
      </rPr>
      <t>/g</t>
    </r>
  </si>
  <si>
    <r>
      <t>Ūdens apjoms iestādēs, m</t>
    </r>
    <r>
      <rPr>
        <vertAlign val="superscript"/>
        <sz val="10"/>
        <color indexed="8"/>
        <rFont val="Tahoma"/>
        <family val="2"/>
        <charset val="186"/>
      </rPr>
      <t>3</t>
    </r>
    <r>
      <rPr>
        <sz val="10"/>
        <color indexed="8"/>
        <rFont val="Tahoma"/>
        <family val="2"/>
        <charset val="186"/>
      </rPr>
      <t>/g</t>
    </r>
  </si>
  <si>
    <r>
      <t>Ūdens apjoms uzņēmumos, m</t>
    </r>
    <r>
      <rPr>
        <vertAlign val="superscript"/>
        <sz val="10"/>
        <color indexed="8"/>
        <rFont val="Tahoma"/>
        <family val="2"/>
        <charset val="186"/>
      </rPr>
      <t>3</t>
    </r>
    <r>
      <rPr>
        <sz val="10"/>
        <color indexed="8"/>
        <rFont val="Tahoma"/>
        <family val="2"/>
        <charset val="186"/>
      </rPr>
      <t>/g</t>
    </r>
  </si>
  <si>
    <r>
      <t>Ūdens apjoms, m</t>
    </r>
    <r>
      <rPr>
        <vertAlign val="superscript"/>
        <sz val="10"/>
        <color indexed="8"/>
        <rFont val="Tahoma"/>
        <family val="2"/>
        <charset val="186"/>
      </rPr>
      <t>3</t>
    </r>
    <r>
      <rPr>
        <sz val="10"/>
        <color indexed="8"/>
        <rFont val="Tahoma"/>
        <family val="2"/>
        <charset val="186"/>
      </rPr>
      <t>/g</t>
    </r>
  </si>
  <si>
    <t>Esošais nolietojums kanalizācijai</t>
  </si>
  <si>
    <r>
      <t>Notekūdeņu apjoms mājsaimniecībās, m</t>
    </r>
    <r>
      <rPr>
        <vertAlign val="superscript"/>
        <sz val="10"/>
        <color indexed="8"/>
        <rFont val="Tahoma"/>
        <family val="2"/>
        <charset val="186"/>
      </rPr>
      <t>3</t>
    </r>
    <r>
      <rPr>
        <sz val="10"/>
        <color indexed="8"/>
        <rFont val="Tahoma"/>
        <family val="2"/>
        <charset val="186"/>
      </rPr>
      <t>/g</t>
    </r>
  </si>
  <si>
    <r>
      <t>Notekūdeņu apjoms iestādēs, m</t>
    </r>
    <r>
      <rPr>
        <vertAlign val="superscript"/>
        <sz val="10"/>
        <color indexed="8"/>
        <rFont val="Tahoma"/>
        <family val="2"/>
        <charset val="186"/>
      </rPr>
      <t>3</t>
    </r>
    <r>
      <rPr>
        <sz val="10"/>
        <color indexed="8"/>
        <rFont val="Tahoma"/>
        <family val="2"/>
        <charset val="186"/>
      </rPr>
      <t>/g</t>
    </r>
  </si>
  <si>
    <r>
      <t>Notekūdeņu apjoms uzņēmumos, m</t>
    </r>
    <r>
      <rPr>
        <vertAlign val="superscript"/>
        <sz val="10"/>
        <color indexed="8"/>
        <rFont val="Tahoma"/>
        <family val="2"/>
        <charset val="186"/>
      </rPr>
      <t>3</t>
    </r>
    <r>
      <rPr>
        <sz val="10"/>
        <color indexed="8"/>
        <rFont val="Tahoma"/>
        <family val="2"/>
        <charset val="186"/>
      </rPr>
      <t>/g</t>
    </r>
  </si>
  <si>
    <r>
      <t>Notekūdeņu apjoms, m</t>
    </r>
    <r>
      <rPr>
        <vertAlign val="superscript"/>
        <sz val="10"/>
        <color indexed="8"/>
        <rFont val="Tahoma"/>
        <family val="2"/>
        <charset val="186"/>
      </rPr>
      <t>3</t>
    </r>
    <r>
      <rPr>
        <sz val="10"/>
        <color indexed="8"/>
        <rFont val="Tahoma"/>
        <family val="2"/>
        <charset val="186"/>
      </rPr>
      <t>/g</t>
    </r>
  </si>
  <si>
    <r>
      <t>Ūdensapgādes pakalpojumi fiziskām pers., EUR/m</t>
    </r>
    <r>
      <rPr>
        <vertAlign val="superscript"/>
        <sz val="10"/>
        <color indexed="8"/>
        <rFont val="Tahoma"/>
        <family val="2"/>
        <charset val="186"/>
      </rPr>
      <t>3</t>
    </r>
  </si>
  <si>
    <r>
      <t>Notekūdeņu apjomu pieaugums projekta papildinājuma ietvaros gadā, m</t>
    </r>
    <r>
      <rPr>
        <vertAlign val="superscript"/>
        <sz val="10"/>
        <rFont val="Tahoma"/>
        <family val="2"/>
        <charset val="186"/>
      </rPr>
      <t>3</t>
    </r>
  </si>
  <si>
    <r>
      <t>Ūdensapgādes pakalpojumi jurid. pers., EUR/m</t>
    </r>
    <r>
      <rPr>
        <vertAlign val="superscript"/>
        <sz val="10"/>
        <color indexed="8"/>
        <rFont val="Tahoma"/>
        <family val="2"/>
        <charset val="186"/>
      </rPr>
      <t>3</t>
    </r>
  </si>
  <si>
    <r>
      <t>Vidējais tarifs, EUR/m</t>
    </r>
    <r>
      <rPr>
        <b/>
        <i/>
        <vertAlign val="superscript"/>
        <sz val="10"/>
        <rFont val="Tahoma"/>
        <family val="2"/>
        <charset val="186"/>
      </rPr>
      <t>3</t>
    </r>
  </si>
  <si>
    <r>
      <t>Kanalizācijas pakalpojumi fiziskām pers., EUR/m</t>
    </r>
    <r>
      <rPr>
        <vertAlign val="superscript"/>
        <sz val="10"/>
        <color indexed="8"/>
        <rFont val="Tahoma"/>
        <family val="2"/>
        <charset val="186"/>
      </rPr>
      <t>3</t>
    </r>
  </si>
  <si>
    <r>
      <t>Kanalizācijas pakalpojumi jurid. pers., EUR/m</t>
    </r>
    <r>
      <rPr>
        <vertAlign val="superscript"/>
        <sz val="10"/>
        <color indexed="8"/>
        <rFont val="Tahoma"/>
        <family val="2"/>
        <charset val="186"/>
      </rPr>
      <t>3</t>
    </r>
  </si>
  <si>
    <t>Saimnieciskās pamatdarbības rezultāts situācijai AR projektu</t>
  </si>
  <si>
    <t>Izmaksas ūdenim</t>
  </si>
  <si>
    <t>Nolietojums vecais</t>
  </si>
  <si>
    <t>Nolietojums jaunais</t>
  </si>
  <si>
    <t>Kredīta atmaksa</t>
  </si>
  <si>
    <t>Ūdens daļa investīcijās</t>
  </si>
  <si>
    <t>Atbalsta %</t>
  </si>
  <si>
    <r>
      <t>Aprēķinātais pilnais tarifs, EUR/m</t>
    </r>
    <r>
      <rPr>
        <b/>
        <vertAlign val="superscript"/>
        <sz val="10"/>
        <rFont val="Tahoma"/>
        <family val="2"/>
        <charset val="186"/>
      </rPr>
      <t>3</t>
    </r>
  </si>
  <si>
    <r>
      <t>Noteiktais tarifs, EUR/m</t>
    </r>
    <r>
      <rPr>
        <b/>
        <vertAlign val="superscript"/>
        <sz val="10"/>
        <rFont val="Tahoma"/>
        <family val="2"/>
        <charset val="186"/>
      </rPr>
      <t>3</t>
    </r>
  </si>
  <si>
    <t>Izmaksas notekūdeņiem</t>
  </si>
  <si>
    <t>Notekūdeņu daļa investīcijās</t>
  </si>
  <si>
    <t xml:space="preserve">Projekta radītie saimnieciskās pamatdarbības ieņēmumi un izdevumi </t>
  </si>
  <si>
    <t>Projekta iesniedzēja un projekta naudas plūsmas aprēķins</t>
  </si>
  <si>
    <t>Pieteicēja naudas plūsma  - EUR, faktiskajās cenās</t>
  </si>
  <si>
    <t>Debitoru parādi</t>
  </si>
  <si>
    <t>Pamatlīdzekļu nolietojums</t>
  </si>
  <si>
    <t>Saimnieciskās darbības rezultāts</t>
  </si>
  <si>
    <t>"Kanalizācijas tīklu paplašināšana Dobeles aglomerācijā" II kārta</t>
  </si>
  <si>
    <t>Investīciju darbības naudas plūsma</t>
  </si>
  <si>
    <t>Investīcijas pamatlīdzekļos</t>
  </si>
  <si>
    <t>Investīciju darbības rezultāts</t>
  </si>
  <si>
    <t>Finansiālās darbības naudas plūsma</t>
  </si>
  <si>
    <t>Aizņēmumu atmaksa</t>
  </si>
  <si>
    <t>Finansiālās darbības rezultāts</t>
  </si>
  <si>
    <t xml:space="preserve">Pašvaldības līdzekļi </t>
  </si>
  <si>
    <t>Naudas un tās ekvivalentu izmaiņas pārskata perioda laikā</t>
  </si>
  <si>
    <t>Naudas un tās atlikumu atlikums pārskata perioda beigās</t>
  </si>
  <si>
    <t>Diskontētie ieguvumi</t>
  </si>
  <si>
    <t>Diskontētie zaudējumi</t>
  </si>
  <si>
    <t>Reāla sociālā diskonta likme</t>
  </si>
  <si>
    <t>CSP dati par Zemgales reģionu</t>
  </si>
  <si>
    <t>Projekta naudas plūsma - EUR, faktiskajās cenās</t>
  </si>
  <si>
    <t>Pašvaldības kredītsaistību apjoma pret pamatbudžeta ieņēmumiem aprēķins</t>
  </si>
  <si>
    <t>Pašvaldības ilgtermiņa kredītsaistības - EUR, faktiskajās cenās</t>
  </si>
  <si>
    <t>Aizņēmumi (kopā pamatsummas un procentu maksājumi)</t>
  </si>
  <si>
    <t>Pašvaldības aizņēmums, ko plānots ieguldīt piederošā kapitalsabiedrībā</t>
  </si>
  <si>
    <t>Projekta aizņēmums</t>
  </si>
  <si>
    <t>Projekta galvojums</t>
  </si>
  <si>
    <t>Kopā saistības</t>
  </si>
  <si>
    <t>Saistību apjoms pret pamatbudžeta ieņēmumiem</t>
  </si>
  <si>
    <t>Iedzīvotāju maksātspējas rādītāja aprēķins</t>
  </si>
  <si>
    <t>Pie tarifu apjoma, kas sedz pilnas sistēmas izmaksas</t>
  </si>
  <si>
    <t>Vidējie mājsaimniecības mēneša ienākumi (EUR)</t>
  </si>
  <si>
    <r>
      <t>Ūdens patēriņš (m</t>
    </r>
    <r>
      <rPr>
        <vertAlign val="superscript"/>
        <sz val="10"/>
        <rFont val="Tahoma"/>
        <family val="2"/>
        <charset val="186"/>
      </rPr>
      <t>3</t>
    </r>
    <r>
      <rPr>
        <sz val="10"/>
        <rFont val="Tahoma"/>
        <family val="2"/>
        <charset val="186"/>
      </rPr>
      <t>/uz mājsaimniecību mēnesī)</t>
    </r>
  </si>
  <si>
    <r>
      <t>Ūdensapgādes tarifs (EUR/m</t>
    </r>
    <r>
      <rPr>
        <vertAlign val="superscript"/>
        <sz val="10"/>
        <rFont val="Tahoma"/>
        <family val="2"/>
        <charset val="186"/>
      </rPr>
      <t>3</t>
    </r>
    <r>
      <rPr>
        <sz val="10"/>
        <rFont val="Tahoma"/>
        <family val="2"/>
        <charset val="186"/>
      </rPr>
      <t>), iesk. PVN 21%</t>
    </r>
  </si>
  <si>
    <t>Mājsaimniecības izdevumi ūdensapgādes pakalpojumiem mēnesī (EUR)</t>
  </si>
  <si>
    <r>
      <t>Notekūdeņu apjoms (m</t>
    </r>
    <r>
      <rPr>
        <vertAlign val="superscript"/>
        <sz val="10"/>
        <rFont val="Tahoma"/>
        <family val="2"/>
        <charset val="186"/>
      </rPr>
      <t>3</t>
    </r>
    <r>
      <rPr>
        <sz val="10"/>
        <rFont val="Tahoma"/>
        <family val="2"/>
        <charset val="186"/>
      </rPr>
      <t>/uz mājsaimniecību mēnesī)</t>
    </r>
  </si>
  <si>
    <r>
      <t>Kanalizācijas tarifs (EUR/m</t>
    </r>
    <r>
      <rPr>
        <vertAlign val="superscript"/>
        <sz val="10"/>
        <rFont val="Tahoma"/>
        <family val="2"/>
        <charset val="186"/>
      </rPr>
      <t>3</t>
    </r>
    <r>
      <rPr>
        <sz val="10"/>
        <rFont val="Tahoma"/>
        <family val="2"/>
        <charset val="186"/>
      </rPr>
      <t>), iesk. PVN 21%</t>
    </r>
  </si>
  <si>
    <t>Mājsaimniecības izdevumi kanalizācijas pakalpojumiem mēnesī (EUR)</t>
  </si>
  <si>
    <t>Kopā izdevumi ūdenssaimniecības pakalpojumiem</t>
  </si>
  <si>
    <t>Izdevumi % no mājsaimn.vidējiem mēn. ienākumiem</t>
  </si>
  <si>
    <t>Maksātspējas ierobežojums</t>
  </si>
  <si>
    <t>Ūdensapgādes izdevumu īpatsvars kopējos izdevumos</t>
  </si>
  <si>
    <t>Kanalizācijas izdevumu īpatsvars kopējos izdevumos</t>
  </si>
  <si>
    <t>Projekta IIA jutīguma analīze</t>
  </si>
  <si>
    <t>Projekta EA jutīguma analīze</t>
  </si>
  <si>
    <t>EUR</t>
  </si>
  <si>
    <t>Investīciju ekonomiskā ienesīguma norma (ERR)</t>
  </si>
  <si>
    <t>Investīciju ekonomiskā tīra šodienas vērtība (ENPV/C)</t>
  </si>
  <si>
    <t>ERR</t>
  </si>
  <si>
    <t>Investīciju ekonomiskā tīra šodienas vērtība (ENPV)</t>
  </si>
  <si>
    <t>ENPV</t>
  </si>
  <si>
    <t>Izmaiņas ārējos ieguvumos</t>
  </si>
  <si>
    <t>Izmaiņas saimnieciskās darbības izdevumos</t>
  </si>
  <si>
    <t>Izmaiņas ārējos zaudējumos</t>
  </si>
  <si>
    <t>Izmaiņas ieguldījumos</t>
  </si>
  <si>
    <t>Izmaiņas saimnieciskās darbības ieņēmumos</t>
  </si>
  <si>
    <t>Saimnieciskās darbības ieņēmumi</t>
  </si>
  <si>
    <t>Saimnieciskās darbības izdevumi</t>
  </si>
  <si>
    <t>Pieļaujamie izdevumi ūdensapgādes pakalpojumiem:</t>
  </si>
  <si>
    <t>Pieļaujamie izdevumi kanalizācijas pakalpojumiem:</t>
  </si>
  <si>
    <t>Pieļaujamais tarifs ūdensapgādes pakalpojumiem (ar PVN)</t>
  </si>
  <si>
    <t>Pieļaujamais tarifs kanalizācijas pakalpojumiem (ar PVN)</t>
  </si>
  <si>
    <t>Nosakāmais tarifs ūdens</t>
  </si>
  <si>
    <t>Nosakāmais tarifs kanalizācija</t>
  </si>
  <si>
    <t>Projekta ekonomiskā analīze</t>
  </si>
  <si>
    <t>Ārējie ieguvumi</t>
  </si>
  <si>
    <t>Vides piesārņojuma samazināšanās</t>
  </si>
  <si>
    <t>Sabiedrības veselības uzlabošana</t>
  </si>
  <si>
    <t>Ieguvumi no ekonomiski aktīvo iedzīvotāju iekļaušanās darba tirgū - jaunas darba vietas</t>
  </si>
  <si>
    <t>Kopā ārējie ieguvumi</t>
  </si>
  <si>
    <t>Ārējie zaudējumi</t>
  </si>
  <si>
    <t>Papildus izmaksas jeb zaudējumi uzņēmējiem projekta ieviešanas laikā</t>
  </si>
  <si>
    <t>Kopā ārējie zaudējumi</t>
  </si>
  <si>
    <t>Ieguldījumu izmaksu kopsumma atbalstāmajās darbībās</t>
  </si>
  <si>
    <t>Jaunu KAIT būvdarbu izmaksas (MK noteikumu 25.2.punkts), esošā līguma ietvaros</t>
  </si>
  <si>
    <t>KAIT būvdarbu projektēšanas (neskaitot būvprojekta ekspertīzes izmaksas) un būvuzraudzības izmaksas (MK noteikumu 25.1.punkts), esošā līguma ietvaros</t>
  </si>
  <si>
    <t>UAIT būvdarbu projektēšanas (neskaitot būvprojekta ekspertīzes izmaksas) un būvuzraudzības izmaksas (MK noteikumu 25.1.punkts), esošā līguma ietvaros</t>
  </si>
  <si>
    <t>Jaunu KAIT būvdarbu izmaksas (MK noteikumu 25.2.punkts), papildus</t>
  </si>
  <si>
    <t>KAIT būvdarbu projektēšanas (neskaitot būvprojekta ekspertīzes izmaksas) un būvuzraudzības izmaksas (MK noteikumu 25.1.punkts), papildus</t>
  </si>
  <si>
    <t>Projekta ietvaros pieslēgto iedzīvotaju skaits, esošais Civiltiesiskais līgums</t>
  </si>
  <si>
    <t>Projekta ietvaros pieslēgto iedzīvotaju skaits, papildinājums</t>
  </si>
  <si>
    <t>SITUĀCIJĀ AR PROJEKTU (2017.gada cenās)</t>
  </si>
  <si>
    <t>KAIT Būvekspertīzes un autoruzraudzības izmaksas, esošā līguma ietvaros</t>
  </si>
  <si>
    <t>UAIT Būvekspertīzes un autoruzraudzības izmaksas, esošā līguma ietvaros</t>
  </si>
  <si>
    <t>Ieguvumu un zaudējumu samērs (B/C)</t>
  </si>
  <si>
    <t>FINANŠU EFEKTIVITĀTES RĀDĪTĀJI</t>
  </si>
  <si>
    <t>r=</t>
  </si>
  <si>
    <t>Tīrā diskontētā vērtība (NPV/C)</t>
  </si>
  <si>
    <t>tūkst.EUR</t>
  </si>
  <si>
    <t>Iekšēja ienesīguma norma (IRR/C)</t>
  </si>
  <si>
    <t>%</t>
  </si>
  <si>
    <t>Tīrā diskontētā vērtība (NPV/K)</t>
  </si>
  <si>
    <t>Iekšēja ienesīguma norma (IRR/K)</t>
  </si>
  <si>
    <t>Procentuālās izmaiņas</t>
  </si>
  <si>
    <t>bez ES līdzfinansējuma</t>
  </si>
  <si>
    <t>ar ES līdzfinansējumu</t>
  </si>
  <si>
    <t>Izmaiņas KF līdzfinansējumā</t>
  </si>
  <si>
    <t xml:space="preserve">Ieņēmumi </t>
  </si>
  <si>
    <t>Izmaiņas</t>
  </si>
  <si>
    <t>NPV/C</t>
  </si>
  <si>
    <t>IRR/C</t>
  </si>
  <si>
    <t>NPV/K</t>
  </si>
  <si>
    <t>IRR/K</t>
  </si>
  <si>
    <t>Kārtējās izmaksas</t>
  </si>
  <si>
    <t>Kohēzijas fonda grants</t>
  </si>
  <si>
    <t>Atlases kritēriju pārbaudes lapa</t>
  </si>
  <si>
    <t>Atlases kritērija nosaukums</t>
  </si>
  <si>
    <t>Kritērija rezultāts</t>
  </si>
  <si>
    <t>Pozitīva saimnieciskās darbības naudas plūsma ieviešot projektu</t>
  </si>
  <si>
    <t>Kopā ieguvumi</t>
  </si>
  <si>
    <t>Pašvaldības kredītsaistības nepārsniedz 20% no tās saimnieciskās darbības ieņēmumiem</t>
  </si>
  <si>
    <t>Ūdenssaimniecības kopējais tarifs (ieviešot projektu) nepārsniedz 4% no mājsaimniecības vidējiem ikmēneša ienākumiem</t>
  </si>
  <si>
    <t>Aprēķinātais izmaksu atdeves novērtējuma rādītājs 2022.gadā</t>
  </si>
  <si>
    <t>Papildus aprēķinātā statistika</t>
  </si>
  <si>
    <t>Vērtība</t>
  </si>
  <si>
    <t>Visaugstākais tarifs % (ieviešot projektu) attiecībā pret mājsaimniecības vidējiem ikmēneša ienākumiem</t>
  </si>
  <si>
    <t>Vismazākais tarifs % (ieviešot projektu) attiecībā pret mājsaimniecības vidējiem ikmēneša ienākumiem</t>
  </si>
  <si>
    <t>Ūdensapgādes pakalpojumu tarifā iekļautais nolietojums projekta īstenošanas laikā</t>
  </si>
  <si>
    <t>Kanalizācijas pakalpojumu tarifā iekļautais nolietojums projekta īstenošanas laikā</t>
  </si>
  <si>
    <t>Nov 2016: Attiecināmo izmaksu segšanai - SIA "Dobeles ūdens" apgrozāmie līdzekļi līdz KF finansējuma saņemšanai/Neattiecināmo izmaksu segšanai SIA "Dobeles ūdens" apgrozāmie līdzekļi līdz kredīta saņemšania, PVN atgūstams no valsts budžeta</t>
  </si>
  <si>
    <t>Mai 2017: Attiecināmo izmaksu segšanai/Neattiecināmo izmaksu segšanai-aizņēmums Valsts kasē ar pašvaldības galvojumu (kopejā summa EUR 721 707,66 izmantojot turpmākajiem maksājumiem, PVN atgūstams no valsts budžeta</t>
  </si>
  <si>
    <t>Trokšņu līmeņa palielināšanās un ar būvniecības procesa norisi saistītie zaudējumi projekta ieviešanas laikā vietējiem iedzīvotājiem</t>
  </si>
  <si>
    <t>Datu ievades lapa</t>
  </si>
  <si>
    <t xml:space="preserve">Apzīmējumi: </t>
  </si>
  <si>
    <t>Jā</t>
  </si>
  <si>
    <t>Dati jāievada projekta iesniedzējam</t>
  </si>
  <si>
    <t>Nē</t>
  </si>
  <si>
    <t>Dati tiek aprēķināti automātiski</t>
  </si>
  <si>
    <t>Pašvaldība vai pašvaldības iestāde, vai pašvaldības aģentūra</t>
  </si>
  <si>
    <t>Komercsabiedrība</t>
  </si>
  <si>
    <t>Sedz visas izmaksas</t>
  </si>
  <si>
    <t>Nepārsniedz tarifu pieļaujamo īpatsvaru mājsaimniecības ienākumos</t>
  </si>
  <si>
    <t>Aizņēmums</t>
  </si>
  <si>
    <t>Rādītāji</t>
  </si>
  <si>
    <t>Vērtības</t>
  </si>
  <si>
    <t>Nolietojums</t>
  </si>
  <si>
    <t>Kopējie dati par projektu</t>
  </si>
  <si>
    <t>Finansējuma saņēmējs</t>
  </si>
  <si>
    <t>SIA "Dobeles Ūdens"</t>
  </si>
  <si>
    <t>Projekta nosaukums</t>
  </si>
  <si>
    <t>Finansējuma saņēmēja juridiskā forma</t>
  </si>
  <si>
    <t>Pēdējais noslēgtais gads pirms finanšu analīzes veikšanas</t>
  </si>
  <si>
    <t>Ieguldījumu sākuma gads</t>
  </si>
  <si>
    <t>Ekspluatācijas uzsākšanas gads</t>
  </si>
  <si>
    <t>Esošie pamatlīdzekļi  (bez PVN)  - EUR, faktiskajās cenās</t>
  </si>
  <si>
    <t>Esošie pamatlīdzekļi ūdensapgādes pakalpojumiem, uz gada sākumu</t>
  </si>
  <si>
    <t>Ēkas un būves</t>
  </si>
  <si>
    <t>Iekārtas un mašīnas</t>
  </si>
  <si>
    <t>Nemateriālie ieguldījumi</t>
  </si>
  <si>
    <t>Citi pamatlīdzekļi</t>
  </si>
  <si>
    <t>Esošie pamatlīdzekļi kanalizācijas pakalpojumi, uz gada sākumu</t>
  </si>
  <si>
    <t>Esošo pamatlīdzekļu kopējā vērtība</t>
  </si>
  <si>
    <t>Esošo pamatlīdzekļu nolietojums ūdensapgādes pakalpojumiem</t>
  </si>
  <si>
    <t>Esošo pamatlīdzekļu nolietojums kanalizācijas pakalpojumiem</t>
  </si>
  <si>
    <t>Esošo pamatlīdzekļu kopējais nolietojums</t>
  </si>
  <si>
    <t>Projekta ieguldījumi</t>
  </si>
  <si>
    <t>KAIT</t>
  </si>
  <si>
    <t>Jaunu UAIT būvdarbu un esošo UAIT pārbūves izmaksas (MK noteikumu 26.3.punkts)</t>
  </si>
  <si>
    <t>Obligāto publicitātes pasākumu izmaksas (MK noteikumu 25.4.punkts)</t>
  </si>
  <si>
    <t>Izmaksas par papildu publicitātes pasākumiem (MK noteikumu 26.5.punkts)</t>
  </si>
  <si>
    <t>PVN (daļa, kas nav atgūstama no valsts) (MK noteikumu 27.punkts)</t>
  </si>
  <si>
    <t>Attiecināmie izdevumi, pierēķinot inflāciju</t>
  </si>
  <si>
    <t>PVN (ja nav atgūstams) (MK noteikumu 27.punkts)</t>
  </si>
  <si>
    <t>Kopā attiecināmie</t>
  </si>
  <si>
    <t>Neattiecināmie izdevumi, pierēķinot inflāciju</t>
  </si>
  <si>
    <t>UAIT būvniecība (MK noteikumu 26.3.punkts)</t>
  </si>
  <si>
    <t>PVN, kas atgūstams no valsts (MK noteikumu 27.punkts)</t>
  </si>
  <si>
    <t>Kopā neattiecināmie, tsk PVN</t>
  </si>
  <si>
    <t>Projekta ietekme uz pakalpojumu saņēmējiem</t>
  </si>
  <si>
    <t>Kopējais iedzīvotāju skaits ūdensapgādes pakalpojumu sniegšanas zonā</t>
  </si>
  <si>
    <t>Ūdensapgādes sistēmai pieslēgto iedzīvotāju skaits</t>
  </si>
  <si>
    <t>Ūdens patēriņš litri uz cilvēku diennaktī</t>
  </si>
  <si>
    <r>
      <t>Ūdens patēriņš iestādēs gadā, m</t>
    </r>
    <r>
      <rPr>
        <vertAlign val="superscript"/>
        <sz val="10"/>
        <rFont val="Tahoma"/>
        <family val="2"/>
        <charset val="186"/>
      </rPr>
      <t xml:space="preserve">3 </t>
    </r>
  </si>
  <si>
    <r>
      <t>Ūdens patēriņš uzņēmumos gadā, m</t>
    </r>
    <r>
      <rPr>
        <vertAlign val="superscript"/>
        <sz val="10"/>
        <rFont val="Tahoma"/>
        <family val="2"/>
        <charset val="186"/>
      </rPr>
      <t>3</t>
    </r>
    <r>
      <rPr>
        <sz val="10"/>
        <rFont val="Tahoma"/>
        <family val="2"/>
        <charset val="186"/>
      </rPr>
      <t xml:space="preserve"> </t>
    </r>
  </si>
  <si>
    <t>Kopā pieslēgto iedzīvotāju īpatsvars</t>
  </si>
  <si>
    <t>Kopējais iedzīvotāju skaits kanalizācijas pakalpojumu sniegšanas zonā</t>
  </si>
  <si>
    <t>Kanalizācijas sistēmai pieslēgto  iedzīvotāju skaits</t>
  </si>
  <si>
    <t>Notekūdeņu apjoms litri uz cilvēku diennaktī</t>
  </si>
  <si>
    <r>
      <t>Notekūdeņu apjoms iestādēs gadā, m</t>
    </r>
    <r>
      <rPr>
        <vertAlign val="superscript"/>
        <sz val="10"/>
        <rFont val="Tahoma"/>
        <family val="2"/>
        <charset val="186"/>
      </rPr>
      <t xml:space="preserve">3 </t>
    </r>
  </si>
  <si>
    <r>
      <t>Notekūdeņu apjoms uzņēmumos gadā, m</t>
    </r>
    <r>
      <rPr>
        <vertAlign val="superscript"/>
        <sz val="10"/>
        <rFont val="Tahoma"/>
        <family val="2"/>
        <charset val="186"/>
      </rPr>
      <t xml:space="preserve">3 </t>
    </r>
  </si>
  <si>
    <r>
      <t>Ūdens patēriņš mājsaimniecībās gadā m</t>
    </r>
    <r>
      <rPr>
        <vertAlign val="superscript"/>
        <sz val="10"/>
        <rFont val="Tahoma"/>
        <family val="2"/>
        <charset val="186"/>
      </rPr>
      <t>3</t>
    </r>
  </si>
  <si>
    <r>
      <t>Ūdens patēriņš uzņēmumos gadā, m</t>
    </r>
    <r>
      <rPr>
        <vertAlign val="superscript"/>
        <sz val="10"/>
        <rFont val="Tahoma"/>
        <family val="2"/>
        <charset val="186"/>
      </rPr>
      <t xml:space="preserve">3 </t>
    </r>
  </si>
  <si>
    <r>
      <t>Kopējais ūdens patēriņš gadā, m</t>
    </r>
    <r>
      <rPr>
        <vertAlign val="superscript"/>
        <sz val="10"/>
        <rFont val="Tahoma"/>
        <family val="2"/>
        <charset val="186"/>
      </rPr>
      <t>3</t>
    </r>
  </si>
  <si>
    <t>Projekta ietvaros pieslēgto iedzīvotaju skaits</t>
  </si>
  <si>
    <t>Iepriekšējā projekta ietvaros pieslēgto iedzīvotāju skaits</t>
  </si>
  <si>
    <r>
      <t>Ūdens patēriņa pieaugums projekta ietvaros gadā, m</t>
    </r>
    <r>
      <rPr>
        <vertAlign val="superscript"/>
        <sz val="10"/>
        <rFont val="Tahoma"/>
        <family val="2"/>
        <charset val="186"/>
      </rPr>
      <t>3</t>
    </r>
  </si>
  <si>
    <r>
      <t>Ūdens patēriņa pieaugums iepriekšēja projekta ietvaros gadā, m</t>
    </r>
    <r>
      <rPr>
        <vertAlign val="superscript"/>
        <sz val="10"/>
        <rFont val="Tahoma"/>
        <family val="2"/>
        <charset val="186"/>
      </rPr>
      <t>3</t>
    </r>
  </si>
  <si>
    <t>Kopā papildus pieslēgto iedzīvotaju skaits</t>
  </si>
  <si>
    <r>
      <t>Notekūdeņu apjoms mājsaimniecībās gadā, m</t>
    </r>
    <r>
      <rPr>
        <vertAlign val="superscript"/>
        <sz val="10"/>
        <rFont val="Tahoma"/>
        <family val="2"/>
        <charset val="186"/>
      </rPr>
      <t>3</t>
    </r>
  </si>
  <si>
    <r>
      <t>Kopējais notekūdeņu apjoms gadā, m</t>
    </r>
    <r>
      <rPr>
        <vertAlign val="superscript"/>
        <sz val="10"/>
        <rFont val="Tahoma"/>
        <family val="2"/>
        <charset val="186"/>
      </rPr>
      <t>3</t>
    </r>
  </si>
  <si>
    <r>
      <t>Notekūdeņu apjomu pieaugums projekta ietvaros gadā, m</t>
    </r>
    <r>
      <rPr>
        <vertAlign val="superscript"/>
        <sz val="10"/>
        <rFont val="Tahoma"/>
        <family val="2"/>
        <charset val="186"/>
      </rPr>
      <t>3</t>
    </r>
  </si>
  <si>
    <r>
      <t>Notekūdeņu apjomu pieaugums iepriekšēja projekta ietvaros gadā, m</t>
    </r>
    <r>
      <rPr>
        <vertAlign val="superscript"/>
        <sz val="10"/>
        <rFont val="Tahoma"/>
        <family val="2"/>
        <charset val="186"/>
      </rPr>
      <t>3</t>
    </r>
  </si>
  <si>
    <t>Projekta ietekme uz pieteicēja izmaksām</t>
  </si>
  <si>
    <t>Ūdensapgādes pakalpojumu izmaksas</t>
  </si>
  <si>
    <t>Mainīgās izmaksas</t>
  </si>
  <si>
    <t xml:space="preserve">    Materiāli un remontdarbu izmaksas</t>
  </si>
  <si>
    <t xml:space="preserve">    Elektroenerģija</t>
  </si>
  <si>
    <t xml:space="preserve">    Dabas resursu nodoklis</t>
  </si>
  <si>
    <t xml:space="preserve">    Pakalpojumi</t>
  </si>
  <si>
    <t xml:space="preserve">    Citas mainīgās izmaksas (tai skaitā atkārtotās investīcijas pamatlīdzekļos)</t>
  </si>
  <si>
    <t>Fiksētās izmaksas</t>
  </si>
  <si>
    <t xml:space="preserve">    Darba algas</t>
  </si>
  <si>
    <t xml:space="preserve">    Darba devēja sociālais nodoklis</t>
  </si>
  <si>
    <t xml:space="preserve">    Citas fiksētās izmaksas</t>
  </si>
  <si>
    <t>Kanalizācijas pakalpojumi</t>
  </si>
  <si>
    <t>Kanalizācijas pakalpojumu izmaksas</t>
  </si>
  <si>
    <r>
      <t>Ūdenssaimniecības tarifi, bez PVN, EUR/m</t>
    </r>
    <r>
      <rPr>
        <b/>
        <i/>
        <vertAlign val="superscript"/>
        <sz val="10"/>
        <rFont val="Tahoma"/>
        <family val="2"/>
        <charset val="186"/>
      </rPr>
      <t>3</t>
    </r>
  </si>
  <si>
    <t>Fiziskām personām</t>
  </si>
  <si>
    <t>Ūdensapgādes pakalpojumi</t>
  </si>
  <si>
    <t>Juridiskām personām</t>
  </si>
  <si>
    <t>Debitoru parādu īpatsvars, %</t>
  </si>
  <si>
    <t>Aprēķinātais līdzfinansējums:</t>
  </si>
  <si>
    <t>Tarifā iekļautā rentabilitāte</t>
  </si>
  <si>
    <t>Vidējais mājsaimniecības locekļu skaits</t>
  </si>
  <si>
    <t>Vidējie mājsaimniecību ienākumi uz 1 locekli, mēn.</t>
  </si>
  <si>
    <t>Debitoru parādu īpatsvars % sākot ar projekta īstenošanu</t>
  </si>
  <si>
    <t>% jauno UAIT (ja projektā plānotas šādas darbības) ieguldījumu nolietojuma apmērs, ko iekļauj tarifā pēc to nodošanas ekspluatācijā</t>
  </si>
  <si>
    <t>% jauno KAIT ieguldījumu nolietojuma apmērs, ko iekļauj tarifā pēc to nodošanas ekspluatācijā</t>
  </si>
  <si>
    <t>Tarifu pieļaujamais īpatsvars mājsaimniecības ienākumos pēc projekta realizācijas</t>
  </si>
  <si>
    <t>Mājsaimniecību izdevumi</t>
  </si>
  <si>
    <t>Aprēķinātais tarifu īpatsvars mājsaimniecību ienākumos:</t>
  </si>
  <si>
    <t>Tarifa aprēķinā ir iekļauts</t>
  </si>
  <si>
    <t>Finansēšanas avoti un finanšu stabilitāte</t>
  </si>
  <si>
    <t>Projektu finansēs ar aizņēmumu?</t>
  </si>
  <si>
    <t>Plānotais pieteicēja aizņēmums</t>
  </si>
  <si>
    <t>Aizņēmuma likme</t>
  </si>
  <si>
    <t xml:space="preserve">Aizņēmuma atmaksas periods (gadi) </t>
  </si>
  <si>
    <t>Citi finanšu avoti</t>
  </si>
  <si>
    <t>Vai pašvaldība galvo kapitālsabiedrības aizņēmumu?</t>
  </si>
  <si>
    <t>Valsts dotācija, no attiecināmajām izmaksām</t>
  </si>
  <si>
    <t>Pašvaldības aizņēmums, ko plānots ieguldīt pašvaldībai piederošā kapitalsabiedrībā</t>
  </si>
  <si>
    <t>Pašvaldības aizņēmuma likme</t>
  </si>
  <si>
    <t xml:space="preserve">Pašvaldības  aizņēmuma atmaksas periods (gadi) </t>
  </si>
  <si>
    <t>Pašvaldības pašu līdzekļi, ko plānots ieguldīt piederošā kapitalsabiedrībā</t>
  </si>
  <si>
    <t>Pašu ieguldījums, neskaitot PVN</t>
  </si>
  <si>
    <t>Naudas atlikums</t>
  </si>
  <si>
    <t>Projekta iesniedzēja saimnieciskās darbības ieņēmumi</t>
  </si>
  <si>
    <t>Pašvaldības budžeta ieņēmumi</t>
  </si>
  <si>
    <t>Projekta iesniedzēja aizņēmumu apjoms, neskaitot šo projektu, uz gada beigām</t>
  </si>
  <si>
    <t>Projekta iesniedzēja  galvojumu apjoms, uz gada beigām</t>
  </si>
  <si>
    <t>Citu ilgtermiņa saistību apjoms, uz gada beigām</t>
  </si>
  <si>
    <t>Pašvaldības ilgtermiņa saistību apjoms pret pašvaldības budžeta ieņēmumiem</t>
  </si>
  <si>
    <t xml:space="preserve">Pašvaldības ilgtermiņa saistību apjoms </t>
  </si>
  <si>
    <t>Projekta iesniedzēja pamatkapitāls gada sākumā</t>
  </si>
  <si>
    <t>Projekta iesniedzēja nesadalītā peļņa gada sākumā</t>
  </si>
  <si>
    <t>Projekta iesniedzēja naudas līdzekļu atlikums gada sākumā</t>
  </si>
  <si>
    <t xml:space="preserve">Maksimālais pieļaujamais KF finansējums saskaņā ar MK not. Nr. 403 </t>
  </si>
  <si>
    <t>Pašvaldības ilgtermiņa saistības, EUR</t>
  </si>
  <si>
    <t>Kopā pašvaldības ilgtermiņa saistības (aizņemumi un galvojumi)</t>
  </si>
  <si>
    <t>Pašvaldības aizņēmumu saraksts</t>
  </si>
  <si>
    <t>A2/1/10/922 "Vēsturiskā tirgus laukuma rekonstrukcija''</t>
  </si>
  <si>
    <t>Pašvaldības galvojumu saraksts</t>
  </si>
  <si>
    <t>SIA "Dobeles ūdens" projektam "Ūdenssaimniecības attīstība Dobeles novada Dobeles pagasta Lejasstrazdu ciemā"</t>
  </si>
  <si>
    <t>SIA "Dobeles ūdens" projektam "Ūdenssaimniecības attīstība Dobeles novada Dobelē"</t>
  </si>
  <si>
    <t>SIA "Dobeles ūdens" projektam "Ūdenssaimniecības attīstība Dobeles novada Jaunbērzes ciemā"</t>
  </si>
  <si>
    <t>SIA "Dobeles ūdens" projektam "Ūdenssaimniecības attīstība Dobeles novada Auru pagasta Gardenes ciemā"</t>
  </si>
  <si>
    <t>SIA "Dobeles ūdens" projektam "Ūdenssaimniecības attīstība Dobeles novada Krimūnu ciemā"</t>
  </si>
  <si>
    <t>SIA "Dobeles ūdens" projektam "Ūdenssaimniecības attīstība Dobeles novada Penkules ciemā"</t>
  </si>
  <si>
    <t>SIA "Dobeles ūdens" projektam "Ūdenssaimniecības attīstība Dobeles novada Annenieku pagasta Kaķenieku ciemā"</t>
  </si>
  <si>
    <t>pirms</t>
  </si>
  <si>
    <t>pēc</t>
  </si>
  <si>
    <t xml:space="preserve">Ūdens patēriņš iestādēs gadā, m3 </t>
  </si>
  <si>
    <t xml:space="preserve">Ūdens patēriņš uzņēmumos gadā, m3 </t>
  </si>
  <si>
    <t xml:space="preserve">Notekūdeņu apjoms iestādēs gadā, m3 </t>
  </si>
  <si>
    <t xml:space="preserve">Notekūdeņu apjoms uzņēmumos gadā, m3 </t>
  </si>
  <si>
    <t>Investīcijas UAIT</t>
  </si>
  <si>
    <t>Būvuzraudzība</t>
  </si>
  <si>
    <t>Autoruzraudzība</t>
  </si>
  <si>
    <t>Būvekspertīze un būvprojekta izstrāde</t>
  </si>
  <si>
    <t>PVN</t>
  </si>
  <si>
    <t>Investicijas KAIT</t>
  </si>
  <si>
    <t>Publicitate</t>
  </si>
  <si>
    <t>Saņemamā aizdevuma apjoms</t>
  </si>
  <si>
    <t>Pamatsummas atmaksa</t>
  </si>
  <si>
    <t>Pašvaldības pamatbudžeta ieņēmumi</t>
  </si>
  <si>
    <t>Pašvaldības ilgtermiņa saistību apjoms, neskaitot šo projektu, uz gada beigām</t>
  </si>
  <si>
    <t>Makroekonomiskie pieņēmumi</t>
  </si>
  <si>
    <t>Patēriņa cenu izmaiņas %</t>
  </si>
  <si>
    <t>Indekss</t>
  </si>
  <si>
    <t>Darba algas (bruto) izmaiņas, salīdzināmās cenās, %</t>
  </si>
  <si>
    <t>Kopējā pamatkapitāla veidošanas deflators,%</t>
  </si>
  <si>
    <t>KAIT būvdarbu projektēšanas (neskaitot būvprojekta ekspertīzes izmaksas) un būvuzraudzības izmaksas virs 7% no jaunu KAIT būvniecības un esošo KAIT pārbūves attiecināmajām izmaksām kopā (MK noteikumu 25.1. un 25.3.punkts)</t>
  </si>
  <si>
    <t>Komercsabiedrībā ieguldāmā saņemamā aizdevuma apjoms</t>
  </si>
  <si>
    <t>Atlikums</t>
  </si>
  <si>
    <t>Procentu maksājumi</t>
  </si>
  <si>
    <t>Makroekonomiskie pieņēmumi projektam</t>
  </si>
  <si>
    <t>Makroekonomiskos rādītājus izmantot saskaņā ar LR Finanšu ministrijas mājas lapā publicētajiem http://fm.gov.lv/lv/sadalas/ppp/tiesibu_akti/makroekonomiskie_pienemumi_un_prognozes/</t>
  </si>
  <si>
    <t>PVN ūdenssaimniecības pakalpojumiem</t>
  </si>
  <si>
    <t>Darba devēja sociālais nodoklis</t>
  </si>
  <si>
    <t>Uzņēmumu ienākuma nodoklis</t>
  </si>
  <si>
    <t>Nominālā finansiālā diskonta likme</t>
  </si>
  <si>
    <t>PVN investīcijām</t>
  </si>
  <si>
    <t>Ekonomiskā analīze</t>
  </si>
  <si>
    <t>Nominālā ekonomiskā diskonta likme</t>
  </si>
  <si>
    <t>Projekta analīzē izmantotie laika rādītāji</t>
  </si>
  <si>
    <t>Ilgtermiņa ieguldījumu nolietojums (gados)</t>
  </si>
  <si>
    <t>Ūdens un kanalizācijas vadi</t>
  </si>
  <si>
    <t>Rezervuāri un tilpnes</t>
  </si>
  <si>
    <t>Analīzes perioda ilgums, gadi</t>
  </si>
  <si>
    <t>Pamatlīdzekļu (PL) atlikušās vērtības gads</t>
  </si>
  <si>
    <t>PL atlikušais darbības laiks perioda beigās, gadi</t>
  </si>
  <si>
    <t>Maksimālā KF līdzfinansējuma likme</t>
  </si>
  <si>
    <t>Valsts budžeta dotācija</t>
  </si>
  <si>
    <t>Projekta naudas plūsmas prognoze</t>
  </si>
  <si>
    <t>Apstiprinātais budžets, EUR</t>
  </si>
  <si>
    <t>Apstiprinātā budžeta  struktūra, %</t>
  </si>
  <si>
    <t>Budžets pēc līgumu noslēgšanas, tūkst. EUR</t>
  </si>
  <si>
    <t>Budžeta struktūra pēc līgumu noslēgšanas  , %</t>
  </si>
  <si>
    <t>Grozītais budžets, tūkst. EUR</t>
  </si>
  <si>
    <t>Grozītā budžeta struktūra, %</t>
  </si>
  <si>
    <t>KOPĀ</t>
  </si>
  <si>
    <t>Budžeta  struktūra</t>
  </si>
  <si>
    <t>Jan</t>
  </si>
  <si>
    <t>Feb</t>
  </si>
  <si>
    <t>Mar</t>
  </si>
  <si>
    <t>Apr</t>
  </si>
  <si>
    <t>Mai</t>
  </si>
  <si>
    <t>Jūn</t>
  </si>
  <si>
    <t>Jūl</t>
  </si>
  <si>
    <t>Aug</t>
  </si>
  <si>
    <t>Sep</t>
  </si>
  <si>
    <t>Okt</t>
  </si>
  <si>
    <t>Nov</t>
  </si>
  <si>
    <t>Dec</t>
  </si>
  <si>
    <t>Maksājumu pieprasījumi</t>
  </si>
  <si>
    <t>Pieejamais finansējums atbalstāmo darbību segšanai</t>
  </si>
  <si>
    <t>Kohēzijas fonds</t>
  </si>
  <si>
    <t>Valsts budžets</t>
  </si>
  <si>
    <t>Pieejamais finansējums atbalstāmo darbību segšanai kopā</t>
  </si>
  <si>
    <t>Attiecināmie izdevumi</t>
  </si>
  <si>
    <t>KAIT izbūve un rekonstrukcija</t>
  </si>
  <si>
    <t>Projektēšana, būvekspertīze, autoruzraudzība un būvuzraudzība</t>
  </si>
  <si>
    <t>PVN (ja nav atgūstams)</t>
  </si>
  <si>
    <t>Obligātie publicitātes pasākumi</t>
  </si>
  <si>
    <t>Attiecināmie izdevumi kopā</t>
  </si>
  <si>
    <t>Atbalstāmo darbību izdevumu bilance</t>
  </si>
  <si>
    <t>PVN, kas atgūstams no valsts</t>
  </si>
  <si>
    <t>Pārējie neattiecināmie izdevumi</t>
  </si>
  <si>
    <t>Kopējā BILANCE</t>
  </si>
  <si>
    <t>Papildus finansējums</t>
  </si>
  <si>
    <t>Attiecināmo izdevumu segšanai*</t>
  </si>
  <si>
    <t>Neattiecināmo izdevumu segšanai*</t>
  </si>
  <si>
    <t>Papildus finansējums kopā</t>
  </si>
  <si>
    <t>*Piezīmes / paskaidrojumi:</t>
  </si>
  <si>
    <t>Finanšu modeļa aprēķinu tabulas</t>
  </si>
  <si>
    <t>Investīciju izmaksas un pamatlīdzekļi  (bez PVN)  - EUR, faktiskajās cenās</t>
  </si>
  <si>
    <t>Pamatlīdzekļu nolietojuma aprēķins</t>
  </si>
  <si>
    <t>Esošie pamatlīdzekļi ūdensapgādes pakalpojumiem (uz perioda beigām)</t>
  </si>
  <si>
    <t>Citas ražošanas uzsākšanas izmaksas</t>
  </si>
  <si>
    <t>Esošie pamatlīdzekļi kanalizācijas pakalpojumi (uz perioda beigām)</t>
  </si>
  <si>
    <t>Esošo pamatlīdzekļu nolietojums kanalizācijas pakalpojumi</t>
  </si>
  <si>
    <t>Investīciju izmaksu nolietojuma aprēķins  - EUR, faktiskajās cenās</t>
  </si>
  <si>
    <t>Ūdensapgādes sistēma</t>
  </si>
  <si>
    <t xml:space="preserve">    Sākotnējā vērtība</t>
  </si>
  <si>
    <t xml:space="preserve">    Nolietojuma likme</t>
  </si>
  <si>
    <t xml:space="preserve">    Nolietojums gadā</t>
  </si>
  <si>
    <t xml:space="preserve">    Nolietojums uzkrājošā formā</t>
  </si>
  <si>
    <t xml:space="preserve">    Atlikuma vērtība</t>
  </si>
  <si>
    <t>Kanalizācijas sistēma</t>
  </si>
  <si>
    <t>Kopā</t>
  </si>
  <si>
    <t>Investīciju attiecināmība</t>
  </si>
  <si>
    <t>Iekārtas</t>
  </si>
  <si>
    <t>Kopā investīcijas</t>
  </si>
  <si>
    <t>Kopā investīcijas ar PVN</t>
  </si>
  <si>
    <t>Attiecināmās</t>
  </si>
  <si>
    <t>Neattiecināmās</t>
  </si>
  <si>
    <t>Neattiecināmās ar PVN</t>
  </si>
  <si>
    <t>Projekta investīciju finanšu atdeve</t>
  </si>
  <si>
    <t>Nediskontētas kopējās investīciju izmaksas, bez PVN</t>
  </si>
  <si>
    <t>Diskontētās kopējās investīciju izmaksas, bez PVN</t>
  </si>
  <si>
    <t>uz pēdējo finanšu gadu</t>
  </si>
  <si>
    <t>ja nepieciešams iegūt uz kādu citu gadu - jāreizina ar diskonta faktoru kāpinātu gadu skaitā (piemēram projekta uzsākšanas gads mīnus pēdējais finanšu gads)</t>
  </si>
  <si>
    <t>Nediskontētās investīciju attiecināmās izmaksas:</t>
  </si>
  <si>
    <t>Diskontētās investīciju attiecināmās izmaksas:</t>
  </si>
  <si>
    <t>Diskontētais saimn. pamatdarb. rezultāts</t>
  </si>
  <si>
    <t>Diskontētie pamatdarbības ieņēmumi</t>
  </si>
  <si>
    <t>Diskontētās pamatdarbības izmaksas</t>
  </si>
  <si>
    <t>Diskontētie PROJEKTA pamatdarbības ieņēmumi</t>
  </si>
  <si>
    <t>Diskontētās PROJEKTA pamatdarbības izmaksas</t>
  </si>
  <si>
    <t>Nediskontētā pamatlīdzekļu atlikusī vērtība</t>
  </si>
  <si>
    <t>Diskontētā pamatlīdzekļu atlikusī vērtība</t>
  </si>
  <si>
    <t>Investīciju sadalījums starp sektoriem</t>
  </si>
  <si>
    <t>Ūdensapgādes daļa</t>
  </si>
  <si>
    <t>Kanalizācijas daļa</t>
  </si>
  <si>
    <t>Investīciju izmaksas (bez PVN)  - EUR, faktiskajās cenās</t>
  </si>
  <si>
    <t>Investīcijas ūdensapgādes sistēmā</t>
  </si>
  <si>
    <t>Pamatlīdzekļi</t>
  </si>
  <si>
    <t>Ražošanas uzsākšanas izmaksas</t>
  </si>
  <si>
    <t>Kopā investīciju izmaksas</t>
  </si>
  <si>
    <t>Investīcijas kanalizācijas sistēmā</t>
  </si>
  <si>
    <t xml:space="preserve">Finanšu avoti - EUR, faktiskajās cenās </t>
  </si>
  <si>
    <t>Pašu līdzekļi</t>
  </si>
  <si>
    <t>Aizņēmumi</t>
  </si>
  <si>
    <t>Kopā nacionālais finansējums</t>
  </si>
  <si>
    <t>Kopā nacionālais finansējums bez aizņēmumiem</t>
  </si>
  <si>
    <t>KF līdzfinansējums</t>
  </si>
  <si>
    <t>Projekta papildinājumu rezultāta pieslēgto iedzīvotāju skaits</t>
  </si>
  <si>
    <t>SITUĀCIJĀ BEZ PROJEKTA (2017.gada cenās)</t>
  </si>
  <si>
    <t>2017 gada bilances atšķirība:</t>
  </si>
  <si>
    <t>A2/1/10/439 projekts "Pirmskolas izglītības iestādes "Spodrība" rekonstrukcija Upes ielā 14"</t>
  </si>
  <si>
    <t>A2/1/10/441 projekts "Izglītības iestāžu energoefektivitātes paaugstināšana Dobeles novadā"</t>
  </si>
  <si>
    <t>A2/1/11/362 "Jaunbērzes pagasta mežinieku pamatskolas sporta zāles - piebūves celtniecība"</t>
  </si>
  <si>
    <t>A2/1/11/48 "Brīvības ielas rekonstrukcija Dobeles pilsētā"</t>
  </si>
  <si>
    <t>A2/1/11/817 P-492/2011 "Ceļa Auri - Apgulde - Naudīte rekonstrukcija"</t>
  </si>
  <si>
    <t xml:space="preserve">A2/1/12/150 trančes Nr. P-79/2012 "Ceļa Auri - Apgulde - Naudīte rekonstrukcija" </t>
  </si>
  <si>
    <t>A2/1/12/482 trančes Nr.P-314/2012 "Dobeles 2.vidusskolas telpu renovācija, pielāgojot profesionālās izglītības iestādes vajadzībām"</t>
  </si>
  <si>
    <t>A2/1/12/483 trančes Nr.P-315/2012 "Velotūrisma attīstība Dobeles pilsētas teritorijā"</t>
  </si>
  <si>
    <t>A2/1/12/562 trenčes Nr.P-366/2012 "Vietējo produktu attīstība Vidusbaltijā"</t>
  </si>
  <si>
    <t>A2/1/12/563 trenčes Nr. P-382/2012 "Aizsargāta zaļā zona un ūdenstilpnes Zemgalē un Ziemeļlietuvā"</t>
  </si>
  <si>
    <t>A2/1/12/699 trančes P-451/2012 "Ilgtspējīga lietus ūdens kanalizācijas apsaimniekošana Lielupes baseina vides kvalitātes uzlabošanai"</t>
  </si>
  <si>
    <t>A2/1/13/219 trenčes Nr.P-155/2013 "Zaļās ielas asfalta seguma atjaunošana Dobelē - ārkārtas situācijas novēršanai"</t>
  </si>
  <si>
    <t>A2/1/13/334 trančes nr. P-237/2013 "ERAF projekta "Brīvības ielas rekonstrukcija Dobeles pilsētā (II kārta)" īstenošana"</t>
  </si>
  <si>
    <t>A2/1/13/355 trančes nr. P-249/2013 "ERAF projekta "Zaļās ielas rekonstrukcija Dobeles pilsētā 1.kārta" īstenošana"</t>
  </si>
  <si>
    <t>A2/1/13/407 trančes nr. P-289/2013 "Dobeles sākumskolas ēkas renovācija " īstenošana</t>
  </si>
  <si>
    <t>A2/1/13/465 trančes Nr. P-332/2013 Projekts "Meža prospekta Dobelē rekonstrukcija"</t>
  </si>
  <si>
    <t>A2/1/13/972 trančes Nr. P-439/2013 "Pašvaldības autonomo funkciju veikšanai nepieciešamā transporta iegādei (mikroautobusa)"</t>
  </si>
  <si>
    <t>P-376/2007  "Krimūnu pamatskolas logu un durvju nomaiņa, tautas nama zāles remonts, Krimūnu un Akāciju ciemata ūdensapgādes sistēmu ūdens atdzelžošana, P.Upīša dārza, muzeja ciemata kanalizācijas notekūdeņu sistēmas rekonstrukcija, Krimūnu pamatskolas ēkas ieejas mezglu nomaiņa, Krimūnu ciemata katlu mājas siltumsistēmas mezglu nomaiņa, daudzdzīvokļu māju jumtu un koplietošanas telpu remonts"</t>
  </si>
  <si>
    <t>P-58/2008  "Ēkas rekonstrukcijai Dobeles rajona Centrālās bibliotēkas iekārtošanai, sporta skolas telpu renovācijai"</t>
  </si>
  <si>
    <t>2/1/17/531 trančes nr.P-399/2017 "Dobeles novada Penkules pamatskolas remontdarbi"</t>
  </si>
  <si>
    <t>A2/1/14/570 trančes Nr.P-391/2014 "Gardenes pamatskolas ēkas energoefektivitātes uzlabošana KPFI-15.3/90"</t>
  </si>
  <si>
    <t>A2/1/14/943 trančes Nr.P-599/2014 "Pašvaldības autonomo funkciju veikšanai nepieciešamā transporta iegāde"</t>
  </si>
  <si>
    <t>A2/1/15/125 trenčes Nr.P-80/2015 "KPFI projekta "Siltumnīcefekta gāzu emisiju samazināšana Naudītes skolā""</t>
  </si>
  <si>
    <t>A2/1/15/205 trančes Nr.P-126/2015 "KPFI projekta "Siltumnīcefekta gāzu emisiju samazināšana Dobeles novada pirmsskolas izglītības iestādē "Zvaniņš"" īstenošanai"</t>
  </si>
  <si>
    <t>A2/1/15/238 trančes Nr. P-153/2015 "KPFI projekta "Publisko teritoriju apgaismojuma infrastruktūras modernizācija Dobeles novadā" īstenošanai"</t>
  </si>
  <si>
    <t>A2/1/15/471 trančes Nr. P-321/2015 "Projekta "Bikstu pamatskolas ēkas jumta nomaiņa""</t>
  </si>
  <si>
    <t>A2/1/15/548 trančes Nr.P-368/2015 "Projekta "Sporta zāles ēkas pārbūve Bikstu pagastā Bikstu pamatskolas audzēķņu sporta izglītības programmu rezlizācijas nodrošināšanai""</t>
  </si>
  <si>
    <t>A2/1/15/573 trančes Nr.P-380-2015 "Projekta "Ceļa seguma atjaunošana ceļu posmos Noras - Cīrulīši, šosejas - Noras un Rīti - Gaidas Penkules ciemā, Penkules pagastā, Dobeles novadā" īstenošanai"</t>
  </si>
  <si>
    <t>A2/1/15/650 trančes Nr.P-424/2015 "Projekta "Pašvaldības ceļa Druvas-Saulstari C-36" Jaunbērzes pagasta Dobeles novadā pārbūve"</t>
  </si>
  <si>
    <t>A2/1/16/243 trančes Nr.P-155/2016 "Projekta "Dobeles novada Pirmskolas izglītības iestāžu remontdarbi" īstenošanai"</t>
  </si>
  <si>
    <t>A2/1/16/289 trančes Nr.P-197/2016 "ELFLA projekta "Meliorācijas sistēmu pārbūve Dobeles novadā" īstenošanai"</t>
  </si>
  <si>
    <t>A2/1/16/350 trančes nr.P-251/2016 "Dobeles novada izglītības iestāžu investīciju projektu īstenošanai"</t>
  </si>
  <si>
    <t>A2/1/17/329 trančes nr.P-225/2017 "Kvalitatīvu kultūras pakalpojumu nodrošināšana Dobeles novada Krimūnu pagasta iedzīvotājiem"</t>
  </si>
  <si>
    <t>A2/1/17/330 trančes nr.P-224/2017 "Remontdarbi, apkures sistēmas atjaunošana, lietus ūdens kanalizācijas sakārtošana un labiekārtošana PII "Zvaniņš" 2 korpusā un teritorijā"</t>
  </si>
  <si>
    <t>A2/1/17/353 trančes nr. P-249/2017 "Meliorācijas sistēmu pārbūve lauksaimniecības izmantojamās zemēs Jaunbērzes, Zebrenes pagastā"</t>
  </si>
  <si>
    <t>A2/1/17/405 trančes nr. P-290/2017 "Annenieku pagasta Kaķenieku ciema kopienas centra ēkas atjaunošana ELFLA projekts"</t>
  </si>
  <si>
    <t>A2/1/17/784 trančes nr.P-612/2017 "Dienesta viesnīcas būvniecība Dobeles novada izglītības iestāžu vajadzībām"</t>
  </si>
  <si>
    <t>A2/1/18/23 trančes nr.P-13/2018 "Dobeles pilsētas kultūras nama rekonstrukcija"</t>
  </si>
  <si>
    <t>A2/14/571 trančes Nr. P392-2014 "Zaļās ielas rekonstrukcija Dobeles pilsētā 1.kārta ERAF"</t>
  </si>
  <si>
    <t>SIA "Dobeles ūdens" PROJEKTAM "Kanalizācijas tīklu paplašināšana Dobeles aglomerācijā, II kārta"</t>
  </si>
  <si>
    <t>SIA "Dobeles enerģija" siltumtīklu sakārtošanai</t>
  </si>
  <si>
    <t>Investīciju izdevumi, 2018 gada cenās</t>
  </si>
  <si>
    <t>Kopā finanšu avoti</t>
  </si>
  <si>
    <t>Finanšu avoti</t>
  </si>
  <si>
    <t>Valsts dotācijas likme no attiecināmajām izmaksām</t>
  </si>
  <si>
    <t>Faktiskā ES atbalsta likme no attiecināmajām izmaksām</t>
  </si>
  <si>
    <t>Kopā atbalsts</t>
  </si>
  <si>
    <t>Finanšu ilgtspēja - EUR, faktiskajās cenās</t>
  </si>
  <si>
    <t>Saimnieciskās pamatdarbības ieņēmumi</t>
  </si>
  <si>
    <t>Kopā ienākošās naudas plūsma</t>
  </si>
  <si>
    <t>Kopā saimnieciskās pamatdarbības izdevumi</t>
  </si>
  <si>
    <t>Aizņēmuma pamatsummas maksājumi</t>
  </si>
  <si>
    <t>Kopā izejošās naudas plūsma</t>
  </si>
  <si>
    <t>Neto naudas plūsma</t>
  </si>
  <si>
    <t>Nepieciešamās pašvaldības vai uzņēmuma subsīdījas</t>
  </si>
  <si>
    <t>Kumulatīvā naudas plūsma</t>
  </si>
  <si>
    <t>Projekta investīciju finanšu atdeve - EUR, faktiskajās cenās</t>
  </si>
  <si>
    <t>Pamatlīdzekļu atlikusī vērtība</t>
  </si>
  <si>
    <t>Kopā ieņēmumi</t>
  </si>
  <si>
    <t>Saimnieciskās pamatdarbības izdevumi</t>
  </si>
  <si>
    <t>Kopā izdevumi</t>
  </si>
  <si>
    <t xml:space="preserve">Investīciju iekšējā peļņas norma (FRR/C) </t>
  </si>
  <si>
    <t xml:space="preserve">Investīciju tīrā šodienas vērtība (FNPV/C) </t>
  </si>
  <si>
    <t>Projekta finanšu darbību raksturojoši koeficienti</t>
  </si>
  <si>
    <t xml:space="preserve">Likviditātes (apgrozāmo līdzekļu) Analīze  </t>
  </si>
  <si>
    <t>Vispārējais apgrozāmo līdzekļu koeficients = Apgrozāmie līdzekļi / Īstermiņa parādi</t>
  </si>
  <si>
    <t>Brīvie apgrozāmie līdzekļi = Apgrozāmie līdzekļi – Īstermiņa parādi</t>
  </si>
  <si>
    <t>Parāda nomaksas koeficients=saimnieciskās darbības rezultāts/(aizņēmumu pamatsummas atmaksa/procentu maksājumi)</t>
  </si>
  <si>
    <t xml:space="preserve">Aktivitātes koeficienti  </t>
  </si>
  <si>
    <t xml:space="preserve">Pircēju un pasūtītāju debeta apgrozījums = Neto apgrozījums  / Debitori kopā </t>
  </si>
  <si>
    <t>Apgrozāmo līdzekļu kustība = Neto Apgrozījums / Apgrozāmie līdzekļi</t>
  </si>
  <si>
    <t>Kopējo aktīvu apgrozījums = Neto Apgrozījums / Kopējiem aktīviem</t>
  </si>
  <si>
    <r>
      <t>Kapitāla struktūras analīze </t>
    </r>
    <r>
      <rPr>
        <b/>
        <sz val="10"/>
        <rFont val="Tahoma"/>
        <family val="2"/>
        <charset val="186"/>
      </rPr>
      <t xml:space="preserve"> </t>
    </r>
  </si>
  <si>
    <t>Finanšu līdzsvara koeficients = Pašu kapitāls / Kopējie aktīvi</t>
  </si>
  <si>
    <t>Parāds pret pašu kapitālu = Kreditori / Pašu kapitāls</t>
  </si>
  <si>
    <t>Ilgtermiņa aktīvi pret Pašu kapitālu = Ilgtermiņa ieguldījumi / Pašu kapitāls</t>
  </si>
  <si>
    <r>
      <t>Ienesīguma koeficienti </t>
    </r>
    <r>
      <rPr>
        <b/>
        <sz val="10"/>
        <rFont val="Tahoma"/>
        <family val="2"/>
        <charset val="186"/>
      </rPr>
      <t xml:space="preserve"> </t>
    </r>
  </si>
  <si>
    <t>Kapitāla atdeve = Pārskata perioda peļņa vai zaudējumi pēc nodokļiem (tīrie ieņēmumi) /Pašu kapitālu * 100 % </t>
  </si>
  <si>
    <t>Aktīvu atdeve = Pārskata perioda peļņa vai zaudējumi pēc nodokļiem (tīrie ieņēmumi) / Aktīvu bilance * 100 % </t>
  </si>
  <si>
    <t>Ilgtermiņa ieguldījumu atdeve = Pārskata perioda peļņa vai zaudējumi pēc nodokļiem (tīrie ieņēmumi) / Ilgtermiņa ieguldījumi * 100 % </t>
  </si>
  <si>
    <t>Peļņa pēc nodokļiem+ (Amortizācija*50%)</t>
  </si>
  <si>
    <t>Projekta pašu (valsts) kapitāla finanšu atdeve - EUR, faktiskajās cenās</t>
  </si>
  <si>
    <t>Procentu atmaksa</t>
  </si>
  <si>
    <t>Nacionālais finansējums bez aizņēmumiem</t>
  </si>
  <si>
    <t>Kopā izmaksas</t>
  </si>
  <si>
    <t xml:space="preserve">Investīciju iekšējā peļņas norma (FRR/K) </t>
  </si>
  <si>
    <t xml:space="preserve">Investīciju tīrā šodienas vērtība (FNPV/K) </t>
  </si>
  <si>
    <t>Aizņēmumu atmaksas grafiks - EUR, faktiskajās cenās</t>
  </si>
  <si>
    <t>Pieteicēja aizņēmums attiecināmo un neattiecināmo izmaksu segšanai</t>
  </si>
  <si>
    <t>Procentu likme</t>
  </si>
  <si>
    <t>Aizņēmuma pamatsumma</t>
  </si>
  <si>
    <t>Kopā maksājumi</t>
  </si>
  <si>
    <t>Maksājumu bilance</t>
  </si>
  <si>
    <t>aizņēmums kopā</t>
  </si>
  <si>
    <t>Piezīme: finanšu modelī nav iekļauti pašvaldības vai pašvaldības komercsabiedrības īstermiņa aizņēmumi PVN samaksai (pie nosacījuma, ja aizņēmums ir nepieciešams)</t>
  </si>
  <si>
    <t xml:space="preserve">Peļņas vai zaudējumu aprēķins - EUR, faktiskajās cenās </t>
  </si>
  <si>
    <t>Mājsaimniecības</t>
  </si>
  <si>
    <t>Iestādes</t>
  </si>
  <si>
    <t>Uzņēmumi</t>
  </si>
  <si>
    <t>Citi ieņēmumi</t>
  </si>
  <si>
    <t>Citi ieņēmumi (ES finansējums)</t>
  </si>
  <si>
    <t>Materiāli un remontdarbu izmaksas</t>
  </si>
  <si>
    <t>Elektroenerģija</t>
  </si>
  <si>
    <t>Dabas resursu nodoklis</t>
  </si>
  <si>
    <t>Pakalpojumi</t>
  </si>
  <si>
    <t>Citas mainīgās izmaksas (tai skaitā atkārtotās investīcijas pamatlīdzekļos)</t>
  </si>
  <si>
    <t>Darba algas</t>
  </si>
  <si>
    <t>Citas fiksētās izmaksas</t>
  </si>
  <si>
    <t>Saimnieciskās pamatdarbības rezultāts</t>
  </si>
  <si>
    <t xml:space="preserve">Procentu maksājumi </t>
  </si>
  <si>
    <t>Peļņa vai zaudējumi pirms nodokļiem</t>
  </si>
  <si>
    <t>Bilance - EUR, faktiskajās cenās</t>
  </si>
  <si>
    <t>AKTĪVI</t>
  </si>
  <si>
    <t>Kopā pamatlīdzekļi un nemat. ieguld.</t>
  </si>
  <si>
    <t>Būves un ēkas</t>
  </si>
  <si>
    <t>Nemateriālie ieguldījumi un citas uzkrātās ražošanas izmaksas</t>
  </si>
  <si>
    <t>Kopā apgrozāmie līdzekļi</t>
  </si>
  <si>
    <t>Naudas līdzekļi</t>
  </si>
  <si>
    <t>Debitori</t>
  </si>
  <si>
    <t>Kopā aktīvi</t>
  </si>
  <si>
    <t>PASĪVI</t>
  </si>
  <si>
    <t>Kopā pašu kapitāls</t>
  </si>
  <si>
    <t>Pamatkapitāls</t>
  </si>
  <si>
    <t>Nesadalītā peļņa</t>
  </si>
  <si>
    <t>Pārskata gada nesadalītā peļņa</t>
  </si>
  <si>
    <t>Iepriekšējo periodu nesadalītā peļņa</t>
  </si>
  <si>
    <t>Kopā ilgtermiņa kreditori</t>
  </si>
  <si>
    <t>Tajā skaitā aizņēmums projektam</t>
  </si>
  <si>
    <t>Tajā skaitā ES un valsts atbalsts</t>
  </si>
  <si>
    <t>Kopā īstermiņa kreditori</t>
  </si>
  <si>
    <t>Kopā pasīvi</t>
  </si>
  <si>
    <t>Atbalsta sadale bilancei</t>
  </si>
  <si>
    <t>ES un valsts atbalsts</t>
  </si>
  <si>
    <t>Kārtējā gada ilgtermiņa daļa</t>
  </si>
  <si>
    <t>Kārtējā gada īstermiņa daļa</t>
  </si>
  <si>
    <t>Projekta finanšu avotu aprēķins</t>
  </si>
  <si>
    <t>Attiecināmo izmaksu modelēšana</t>
  </si>
  <si>
    <t>Galvenie parametri</t>
  </si>
  <si>
    <t>Nediskontētā vērtība</t>
  </si>
  <si>
    <t>Diskontētā vērtība</t>
  </si>
  <si>
    <t>Būvdarbi</t>
  </si>
  <si>
    <t>Ū</t>
  </si>
  <si>
    <t>K</t>
  </si>
  <si>
    <t>Soda sankcijas</t>
  </si>
  <si>
    <t>Compatibility Report for Aktualizeta Izmaksu_ieguvumu analīze_papildus  darbiem _ DOBELE.xls</t>
  </si>
  <si>
    <t>Run on 20.06.2018 14:39</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</si>
  <si>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</si>
  <si>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</si>
  <si>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</si>
  <si>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</si>
  <si>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formulas in this workbook are linked to other workbooks that are closed. When these formulas are recalculated in earlier versions of Excel without opening the linked workbooks, characters beyond the 255-character limit cannot be returned.</t>
  </si>
  <si>
    <t>Aprēķini'!F160:I160</t>
  </si>
  <si>
    <t>Excel 97-2003</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</si>
</sst>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 #,##0.00_-;\-* #,##0.00_-;_-* &quot;-&quot;??_-;_-@_-"/>
    <numFmt numFmtId="165" formatCode="0.0%"/>
    <numFmt numFmtId="166" formatCode="#,##0.0"/>
    <numFmt numFmtId="167" formatCode="#,##0\ ;[Red]\-#,##0\ "/>
    <numFmt numFmtId="168" formatCode="0.000000%"/>
    <numFmt numFmtId="169" formatCode="#,##0_ ;[Red]\-#,##0\ "/>
    <numFmt numFmtId="170" formatCode="_-* #,##0_-;\-* #,##0_-;_-* &quot;-&quot;??_-;_-@_-"/>
    <numFmt numFmtId="171" formatCode="#,##0.000"/>
    <numFmt numFmtId="172" formatCode="#,##0_ ;\-#,##0\ "/>
    <numFmt numFmtId="173" formatCode="_-* #,##0.000_-;\-* #,##0.000_-;_-* &quot;-&quot;??_-;_-@_-"/>
    <numFmt numFmtId="174" formatCode="0.000000"/>
    <numFmt numFmtId="175" formatCode="#,##0.0000000000000000"/>
    <numFmt numFmtId="176" formatCode="#,##0.00\ &quot;Ls&quot;"/>
    <numFmt numFmtId="177" formatCode="0.00000000%"/>
    <numFmt numFmtId="178" formatCode="mmm"/>
    <numFmt numFmtId="179" formatCode="#,##0.00_ ;[Red]\-#,##0.00\ "/>
  </numFmts>
  <fonts count="69" x14ac:knownFonts="1">
    <font>
      <sz val="10"/>
      <name val="Arial"/>
      <family val="2"/>
      <charset val="186"/>
    </font>
    <font>
      <sz val="11"/>
      <color indexed="8"/>
      <name val="Calibri"/>
      <family val="2"/>
      <charset val="186"/>
    </font>
    <font>
      <sz val="8"/>
      <name val="Arial"/>
      <family val="2"/>
      <charset val="186"/>
    </font>
    <font>
      <sz val="11"/>
      <color indexed="20"/>
      <name val="Calibri"/>
      <family val="2"/>
      <charset val="186"/>
    </font>
    <font>
      <sz val="11"/>
      <color indexed="52"/>
      <name val="Calibri"/>
      <family val="2"/>
      <charset val="186"/>
    </font>
    <font>
      <b/>
      <sz val="15"/>
      <name val="Times New Roman"/>
      <family val="1"/>
      <charset val="186"/>
    </font>
    <font>
      <sz val="13"/>
      <name val="Times New Roman"/>
      <family val="1"/>
      <charset val="186"/>
    </font>
    <font>
      <b/>
      <sz val="11"/>
      <name val="Times New Roman"/>
      <family val="1"/>
      <charset val="186"/>
    </font>
    <font>
      <b/>
      <sz val="11"/>
      <color indexed="56"/>
      <name val="Calibri"/>
      <family val="2"/>
      <charset val="186"/>
    </font>
    <font>
      <sz val="11"/>
      <color indexed="60"/>
      <name val="Calibri"/>
      <family val="2"/>
      <charset val="186"/>
    </font>
    <font>
      <sz val="11"/>
      <color indexed="8"/>
      <name val="Calibri"/>
      <family val="2"/>
      <charset val="186"/>
    </font>
    <font>
      <sz val="10"/>
      <name val="Garamond"/>
      <family val="1"/>
      <charset val="186"/>
    </font>
    <font>
      <b/>
      <sz val="11"/>
      <color indexed="63"/>
      <name val="Calibri"/>
      <family val="2"/>
      <charset val="186"/>
    </font>
    <font>
      <b/>
      <sz val="18"/>
      <color indexed="56"/>
      <name val="Cambria"/>
      <family val="2"/>
      <charset val="186"/>
    </font>
    <font>
      <b/>
      <sz val="11"/>
      <color indexed="8"/>
      <name val="Calibri"/>
      <family val="2"/>
      <charset val="186"/>
    </font>
    <font>
      <sz val="10"/>
      <name val="Arial"/>
      <family val="2"/>
      <charset val="186"/>
    </font>
    <font>
      <sz val="10"/>
      <name val="Arial"/>
      <family val="2"/>
      <charset val="186"/>
    </font>
    <font>
      <b/>
      <sz val="10"/>
      <name val="Arial"/>
      <family val="2"/>
      <charset val="186"/>
    </font>
    <font>
      <sz val="8"/>
      <name val="Arial"/>
      <family val="2"/>
      <charset val="186"/>
    </font>
    <font>
      <sz val="8"/>
      <color indexed="8"/>
      <name val="Arial"/>
      <family val="2"/>
      <charset val="186"/>
    </font>
    <font>
      <b/>
      <i/>
      <sz val="8"/>
      <name val="Arial"/>
      <family val="2"/>
      <charset val="186"/>
    </font>
    <font>
      <sz val="10"/>
      <name val="Helv"/>
      <charset val="186"/>
    </font>
    <font>
      <b/>
      <sz val="16"/>
      <name val="Tahoma"/>
      <family val="2"/>
      <charset val="186"/>
    </font>
    <font>
      <sz val="10"/>
      <name val="Tahoma"/>
      <family val="2"/>
      <charset val="186"/>
    </font>
    <font>
      <b/>
      <sz val="10"/>
      <name val="Tahoma"/>
      <family val="2"/>
      <charset val="186"/>
    </font>
    <font>
      <i/>
      <sz val="12"/>
      <color indexed="10"/>
      <name val="Tahoma"/>
      <family val="2"/>
      <charset val="186"/>
    </font>
    <font>
      <i/>
      <sz val="10"/>
      <color indexed="10"/>
      <name val="Tahoma"/>
      <family val="2"/>
      <charset val="186"/>
    </font>
    <font>
      <b/>
      <i/>
      <sz val="10"/>
      <name val="Tahoma"/>
      <family val="2"/>
      <charset val="186"/>
    </font>
    <font>
      <sz val="10"/>
      <color indexed="55"/>
      <name val="Tahoma"/>
      <family val="2"/>
      <charset val="186"/>
    </font>
    <font>
      <i/>
      <sz val="10"/>
      <name val="Tahoma"/>
      <family val="2"/>
      <charset val="186"/>
    </font>
    <font>
      <sz val="10"/>
      <color indexed="8"/>
      <name val="Tahoma"/>
      <family val="2"/>
      <charset val="186"/>
    </font>
    <font>
      <b/>
      <sz val="11"/>
      <name val="Tahoma"/>
      <family val="2"/>
      <charset val="186"/>
    </font>
    <font>
      <i/>
      <sz val="10"/>
      <color indexed="8"/>
      <name val="Tahoma"/>
      <family val="2"/>
      <charset val="186"/>
    </font>
    <font>
      <sz val="8"/>
      <name val="Tahoma"/>
      <family val="2"/>
      <charset val="186"/>
    </font>
    <font>
      <b/>
      <sz val="8"/>
      <name val="Tahoma"/>
      <family val="2"/>
      <charset val="186"/>
    </font>
    <font>
      <i/>
      <sz val="8"/>
      <color indexed="10"/>
      <name val="Tahoma"/>
      <family val="2"/>
      <charset val="186"/>
    </font>
    <font>
      <b/>
      <sz val="8"/>
      <color indexed="10"/>
      <name val="Tahoma"/>
      <family val="2"/>
      <charset val="186"/>
    </font>
    <font>
      <sz val="8"/>
      <color indexed="23"/>
      <name val="Tahoma"/>
      <family val="2"/>
      <charset val="186"/>
    </font>
    <font>
      <sz val="8"/>
      <color indexed="10"/>
      <name val="Tahoma"/>
      <family val="2"/>
      <charset val="186"/>
    </font>
    <font>
      <sz val="9"/>
      <name val="Tahoma"/>
      <family val="2"/>
      <charset val="186"/>
    </font>
    <font>
      <b/>
      <sz val="14"/>
      <name val="Tahoma"/>
      <family val="2"/>
      <charset val="186"/>
    </font>
    <font>
      <b/>
      <sz val="12"/>
      <name val="Tahoma"/>
      <family val="2"/>
      <charset val="186"/>
    </font>
    <font>
      <sz val="10"/>
      <color indexed="12"/>
      <name val="Tahoma"/>
      <family val="2"/>
      <charset val="186"/>
    </font>
    <font>
      <b/>
      <sz val="14"/>
      <color indexed="8"/>
      <name val="Tahoma"/>
      <family val="2"/>
      <charset val="186"/>
    </font>
    <font>
      <sz val="12"/>
      <name val="Tahoma"/>
      <family val="2"/>
      <charset val="186"/>
    </font>
    <font>
      <sz val="14"/>
      <name val="Tahoma"/>
      <family val="2"/>
      <charset val="186"/>
    </font>
    <font>
      <sz val="10"/>
      <color indexed="16"/>
      <name val="Tahoma"/>
      <family val="2"/>
      <charset val="186"/>
    </font>
    <font>
      <sz val="10"/>
      <color indexed="48"/>
      <name val="Tahoma"/>
      <family val="2"/>
      <charset val="186"/>
    </font>
    <font>
      <b/>
      <i/>
      <sz val="10"/>
      <color indexed="20"/>
      <name val="Tahoma"/>
      <family val="2"/>
      <charset val="186"/>
    </font>
    <font>
      <i/>
      <sz val="10"/>
      <color indexed="20"/>
      <name val="Tahoma"/>
      <family val="2"/>
      <charset val="186"/>
    </font>
    <font>
      <i/>
      <sz val="12"/>
      <name val="Tahoma"/>
      <family val="2"/>
      <charset val="186"/>
    </font>
    <font>
      <vertAlign val="superscript"/>
      <sz val="10"/>
      <name val="Tahoma"/>
      <family val="2"/>
      <charset val="186"/>
    </font>
    <font>
      <b/>
      <i/>
      <vertAlign val="superscript"/>
      <sz val="10"/>
      <name val="Tahoma"/>
      <family val="2"/>
      <charset val="186"/>
    </font>
    <font>
      <sz val="10"/>
      <color indexed="10"/>
      <name val="Tahoma"/>
      <family val="2"/>
      <charset val="186"/>
    </font>
    <font>
      <i/>
      <sz val="10"/>
      <color indexed="23"/>
      <name val="Tahoma"/>
      <family val="2"/>
      <charset val="186"/>
    </font>
    <font>
      <sz val="16"/>
      <name val="Tahoma"/>
      <family val="2"/>
      <charset val="186"/>
    </font>
    <font>
      <i/>
      <sz val="10"/>
      <color indexed="12"/>
      <name val="Tahoma"/>
      <family val="2"/>
      <charset val="186"/>
    </font>
    <font>
      <vertAlign val="superscript"/>
      <sz val="10"/>
      <color indexed="8"/>
      <name val="Tahoma"/>
      <family val="2"/>
      <charset val="186"/>
    </font>
    <font>
      <b/>
      <u/>
      <sz val="10"/>
      <name val="Tahoma"/>
      <family val="2"/>
      <charset val="186"/>
    </font>
    <font>
      <b/>
      <sz val="10"/>
      <color indexed="8"/>
      <name val="Tahoma"/>
      <family val="2"/>
      <charset val="186"/>
    </font>
    <font>
      <b/>
      <sz val="10"/>
      <color indexed="59"/>
      <name val="Tahoma"/>
      <family val="2"/>
      <charset val="186"/>
    </font>
    <font>
      <sz val="10"/>
      <color indexed="59"/>
      <name val="Tahoma"/>
      <family val="2"/>
      <charset val="186"/>
    </font>
    <font>
      <b/>
      <sz val="10"/>
      <color indexed="10"/>
      <name val="Tahoma"/>
      <family val="2"/>
      <charset val="186"/>
    </font>
    <font>
      <i/>
      <sz val="14"/>
      <name val="Tahoma"/>
      <family val="2"/>
      <charset val="186"/>
    </font>
    <font>
      <b/>
      <sz val="12"/>
      <color indexed="8"/>
      <name val="Tahoma"/>
      <family val="2"/>
      <charset val="186"/>
    </font>
    <font>
      <b/>
      <vertAlign val="superscript"/>
      <sz val="10"/>
      <name val="Tahoma"/>
      <family val="2"/>
      <charset val="186"/>
    </font>
    <font>
      <sz val="10"/>
      <color indexed="9"/>
      <name val="Tahoma"/>
      <family val="2"/>
      <charset val="186"/>
    </font>
    <font>
      <b/>
      <sz val="8"/>
      <name val="Arial"/>
      <family val="2"/>
      <charset val="186"/>
    </font>
    <font>
      <u/>
      <sz val="10"/>
      <color theme="10"/>
      <name val="Arial"/>
      <family val="2"/>
      <charset val="186"/>
    </font>
  </fonts>
  <fills count="21">
    <fill>
      <patternFill patternType="none"/>
    </fill>
    <fill>
      <patternFill patternType="gray125"/>
    </fill>
    <fill>
      <patternFill patternType="solid">
        <fgColor indexed="45"/>
        <bgColor indexed="29"/>
      </patternFill>
    </fill>
    <fill>
      <patternFill patternType="solid">
        <fgColor indexed="22"/>
        <bgColor indexed="31"/>
      </patternFill>
    </fill>
    <fill>
      <patternFill patternType="solid">
        <fgColor indexed="43"/>
        <bgColor indexed="26"/>
      </patternFill>
    </fill>
    <fill>
      <patternFill patternType="solid">
        <fgColor indexed="53"/>
        <bgColor indexed="52"/>
      </patternFill>
    </fill>
    <fill>
      <patternFill patternType="solid">
        <fgColor indexed="27"/>
        <bgColor indexed="41"/>
      </patternFill>
    </fill>
    <fill>
      <patternFill patternType="solid">
        <fgColor indexed="9"/>
        <bgColor indexed="26"/>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2"/>
        <bgColor indexed="26"/>
      </patternFill>
    </fill>
    <fill>
      <patternFill patternType="solid">
        <fgColor indexed="55"/>
        <bgColor indexed="26"/>
      </patternFill>
    </fill>
    <fill>
      <patternFill patternType="solid">
        <fgColor indexed="55"/>
        <bgColor indexed="31"/>
      </patternFill>
    </fill>
    <fill>
      <patternFill patternType="solid">
        <fgColor indexed="41"/>
        <bgColor indexed="64"/>
      </patternFill>
    </fill>
    <fill>
      <patternFill patternType="solid">
        <fgColor indexed="62"/>
        <bgColor indexed="64"/>
      </patternFill>
    </fill>
    <fill>
      <patternFill patternType="solid">
        <fgColor indexed="42"/>
        <bgColor indexed="26"/>
      </patternFill>
    </fill>
    <fill>
      <patternFill patternType="solid">
        <fgColor indexed="42"/>
        <bgColor indexed="64"/>
      </patternFill>
    </fill>
    <fill>
      <patternFill patternType="solid">
        <fgColor indexed="42"/>
        <bgColor indexed="31"/>
      </patternFill>
    </fill>
    <fill>
      <patternFill patternType="solid">
        <fgColor indexed="47"/>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hair">
        <color indexed="8"/>
      </left>
      <right style="hair">
        <color indexed="8"/>
      </right>
      <top style="hair">
        <color indexed="8"/>
      </top>
      <bottom style="hair">
        <color indexed="8"/>
      </bottom>
      <diagonal/>
    </border>
    <border>
      <left style="thin">
        <color indexed="17"/>
      </left>
      <right style="thin">
        <color indexed="17"/>
      </right>
      <top style="thin">
        <color indexed="17"/>
      </top>
      <bottom style="thin">
        <color indexed="17"/>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59"/>
      </left>
      <right/>
      <top/>
      <bottom style="thin">
        <color indexed="59"/>
      </bottom>
      <diagonal/>
    </border>
    <border>
      <left style="thin">
        <color indexed="59"/>
      </left>
      <right style="thin">
        <color indexed="59"/>
      </right>
      <top/>
      <bottom style="thin">
        <color indexed="59"/>
      </bottom>
      <diagonal/>
    </border>
    <border>
      <left style="thin">
        <color indexed="59"/>
      </left>
      <right style="thin">
        <color indexed="59"/>
      </right>
      <top style="thin">
        <color indexed="59"/>
      </top>
      <bottom style="thin">
        <color indexed="59"/>
      </bottom>
      <diagonal/>
    </border>
    <border>
      <left style="thin">
        <color indexed="59"/>
      </left>
      <right/>
      <top style="thin">
        <color indexed="59"/>
      </top>
      <bottom style="thin">
        <color indexed="59"/>
      </bottom>
      <diagonal/>
    </border>
    <border>
      <left style="thin">
        <color indexed="64"/>
      </left>
      <right/>
      <top style="thin">
        <color indexed="64"/>
      </top>
      <bottom style="thin">
        <color indexed="64"/>
      </bottom>
      <diagonal/>
    </border>
    <border>
      <left style="thin">
        <color indexed="59"/>
      </left>
      <right style="thin">
        <color indexed="59"/>
      </right>
      <top style="thin">
        <color indexed="59"/>
      </top>
      <bottom/>
      <diagonal/>
    </border>
    <border>
      <left/>
      <right/>
      <top/>
      <bottom style="thin">
        <color indexed="64"/>
      </bottom>
      <diagonal/>
    </border>
    <border>
      <left style="thin">
        <color indexed="59"/>
      </left>
      <right/>
      <top style="thin">
        <color indexed="59"/>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double">
        <color indexed="64"/>
      </right>
      <top/>
      <bottom/>
      <diagonal/>
    </border>
    <border>
      <left/>
      <right style="thin">
        <color indexed="64"/>
      </right>
      <top style="hair">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double">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double">
        <color indexed="64"/>
      </right>
      <top style="medium">
        <color indexed="64"/>
      </top>
      <bottom/>
      <diagonal/>
    </border>
    <border>
      <left/>
      <right style="double">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style="medium">
        <color indexed="64"/>
      </top>
      <bottom/>
      <diagonal/>
    </border>
    <border>
      <left style="double">
        <color indexed="64"/>
      </left>
      <right/>
      <top style="medium">
        <color indexed="64"/>
      </top>
      <bottom style="thin">
        <color indexed="64"/>
      </bottom>
      <diagonal/>
    </border>
    <border>
      <left/>
      <right/>
      <top style="thin">
        <color indexed="59"/>
      </top>
      <bottom/>
      <diagonal/>
    </border>
    <border>
      <left/>
      <right style="thin">
        <color indexed="59"/>
      </right>
      <top style="thin">
        <color indexed="59"/>
      </top>
      <bottom/>
      <diagonal/>
    </border>
    <border>
      <left/>
      <right style="thin">
        <color indexed="59"/>
      </right>
      <top/>
      <bottom style="thin">
        <color indexed="64"/>
      </bottom>
      <diagonal/>
    </border>
    <border>
      <left/>
      <right style="thin">
        <color indexed="59"/>
      </right>
      <top style="thin">
        <color indexed="59"/>
      </top>
      <bottom style="thin">
        <color indexed="59"/>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s>
  <cellStyleXfs count="44">
    <xf numFmtId="0" fontId="0" fillId="0" borderId="0"/>
    <xf numFmtId="0" fontId="3" fillId="2" borderId="0" applyNumberFormat="0" applyBorder="0" applyProtection="0">
      <alignment vertical="top" wrapText="1"/>
    </xf>
    <xf numFmtId="0" fontId="4" fillId="3" borderId="1" applyNumberFormat="0" applyProtection="0">
      <alignment vertical="top" wrapText="1"/>
    </xf>
    <xf numFmtId="0" fontId="4" fillId="3" borderId="1" applyNumberFormat="0" applyProtection="0">
      <alignment vertical="top" wrapText="1"/>
    </xf>
    <xf numFmtId="164" fontId="15" fillId="0" borderId="0" applyFont="0" applyFill="0" applyBorder="0" applyAlignment="0" applyProtection="0"/>
    <xf numFmtId="0" fontId="5" fillId="0" borderId="0" applyNumberFormat="0" applyProtection="0">
      <alignment horizontal="left" vertical="top"/>
    </xf>
    <xf numFmtId="0" fontId="6" fillId="0" borderId="0" applyNumberFormat="0" applyProtection="0">
      <alignment vertical="top"/>
    </xf>
    <xf numFmtId="0" fontId="7" fillId="0" borderId="0" applyNumberFormat="0" applyProtection="0">
      <alignment vertical="top"/>
    </xf>
    <xf numFmtId="0" fontId="8" fillId="0" borderId="0" applyNumberFormat="0" applyBorder="0" applyProtection="0">
      <alignment vertical="top" wrapText="1"/>
    </xf>
    <xf numFmtId="0" fontId="15" fillId="0" borderId="0" applyNumberFormat="0" applyBorder="0" applyProtection="0">
      <alignment horizontal="left" vertical="top"/>
    </xf>
    <xf numFmtId="0" fontId="15" fillId="0" borderId="0" applyNumberFormat="0" applyBorder="0" applyProtection="0">
      <alignment horizontal="right" vertical="top"/>
    </xf>
    <xf numFmtId="0" fontId="15" fillId="0" borderId="0" applyNumberFormat="0" applyBorder="0" applyProtection="0">
      <alignment horizontal="left" vertical="top"/>
    </xf>
    <xf numFmtId="0" fontId="15" fillId="0" borderId="0" applyNumberFormat="0" applyBorder="0" applyProtection="0">
      <alignment horizontal="left" vertical="top"/>
    </xf>
    <xf numFmtId="0" fontId="15" fillId="0" borderId="0" applyNumberFormat="0" applyBorder="0" applyProtection="0">
      <alignment horizontal="left" vertical="top"/>
    </xf>
    <xf numFmtId="0" fontId="9" fillId="4" borderId="0" applyNumberFormat="0" applyBorder="0" applyProtection="0">
      <alignment vertical="top" wrapText="1"/>
    </xf>
    <xf numFmtId="0" fontId="10" fillId="0" borderId="0"/>
    <xf numFmtId="0" fontId="11" fillId="0" borderId="0"/>
    <xf numFmtId="0" fontId="15" fillId="0" borderId="0"/>
    <xf numFmtId="0" fontId="21" fillId="0" borderId="0"/>
    <xf numFmtId="0" fontId="15" fillId="0" borderId="0" applyNumberFormat="0" applyProtection="0">
      <alignment vertical="top"/>
    </xf>
    <xf numFmtId="0" fontId="12" fillId="3" borderId="2" applyNumberFormat="0" applyProtection="0">
      <alignment vertical="top" wrapText="1"/>
    </xf>
    <xf numFmtId="9" fontId="15"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0" fontId="15" fillId="3" borderId="3" applyNumberFormat="0" applyProtection="0">
      <alignment horizontal="left" vertical="top" wrapText="1"/>
    </xf>
    <xf numFmtId="0" fontId="15" fillId="3" borderId="3" applyNumberFormat="0" applyProtection="0">
      <alignment horizontal="center" vertical="top" wrapText="1"/>
    </xf>
    <xf numFmtId="0" fontId="15" fillId="0" borderId="3" applyNumberFormat="0" applyProtection="0">
      <alignment horizontal="center" vertical="top" wrapText="1"/>
    </xf>
    <xf numFmtId="0" fontId="15" fillId="0" borderId="3" applyNumberFormat="0" applyProtection="0">
      <alignment horizontal="center" vertical="top" wrapText="1"/>
    </xf>
    <xf numFmtId="0" fontId="15" fillId="0" borderId="3" applyNumberFormat="0" applyProtection="0">
      <alignment horizontal="center" vertical="top" wrapText="1"/>
    </xf>
    <xf numFmtId="0" fontId="15" fillId="0" borderId="3" applyNumberFormat="0" applyProtection="0">
      <alignment horizontal="center" vertical="top" wrapText="1"/>
    </xf>
    <xf numFmtId="0" fontId="15" fillId="0" borderId="3" applyNumberFormat="0" applyProtection="0">
      <alignment horizontal="left" vertical="top" wrapText="1"/>
    </xf>
    <xf numFmtId="0" fontId="15" fillId="5" borderId="3" applyNumberFormat="0" applyProtection="0">
      <alignment horizontal="center" vertical="top" wrapText="1"/>
    </xf>
    <xf numFmtId="0" fontId="15" fillId="4" borderId="3" applyNumberFormat="0" applyProtection="0">
      <alignment horizontal="center" vertical="top" wrapText="1"/>
    </xf>
    <xf numFmtId="0" fontId="15" fillId="6" borderId="3" applyNumberFormat="0" applyProtection="0">
      <alignment horizontal="center" vertical="top" wrapText="1"/>
    </xf>
    <xf numFmtId="0" fontId="15" fillId="0" borderId="3" applyNumberFormat="0" applyProtection="0">
      <alignment horizontal="left" vertical="top" wrapText="1"/>
    </xf>
    <xf numFmtId="0" fontId="15" fillId="0" borderId="3" applyNumberFormat="0" applyProtection="0">
      <alignment horizontal="left" vertical="top" wrapText="1"/>
    </xf>
    <xf numFmtId="0" fontId="15" fillId="6" borderId="3" applyNumberFormat="0" applyProtection="0">
      <alignment horizontal="left" vertical="top" wrapText="1"/>
    </xf>
    <xf numFmtId="0" fontId="15" fillId="7" borderId="4" applyNumberFormat="0" applyProtection="0">
      <alignment horizontal="left" vertical="top" wrapText="1"/>
    </xf>
    <xf numFmtId="0" fontId="15" fillId="7" borderId="4" applyNumberFormat="0" applyProtection="0">
      <alignment horizontal="left" vertical="top" wrapText="1"/>
    </xf>
    <xf numFmtId="0" fontId="15" fillId="6" borderId="4" applyNumberFormat="0" applyProtection="0">
      <alignment horizontal="center" vertical="top" wrapText="1"/>
    </xf>
    <xf numFmtId="0" fontId="13" fillId="0" borderId="0" applyNumberFormat="0" applyBorder="0" applyProtection="0">
      <alignment vertical="top" wrapText="1"/>
    </xf>
    <xf numFmtId="0" fontId="14" fillId="0" borderId="5" applyNumberFormat="0" applyProtection="0">
      <alignment vertical="top" wrapText="1"/>
    </xf>
    <xf numFmtId="0" fontId="15" fillId="6" borderId="4" applyNumberFormat="0" applyProtection="0">
      <alignment horizontal="left" vertical="top" wrapText="1"/>
    </xf>
    <xf numFmtId="0" fontId="68" fillId="0" borderId="0" applyNumberFormat="0" applyFill="0" applyBorder="0" applyAlignment="0" applyProtection="0"/>
  </cellStyleXfs>
  <cellXfs count="796">
    <xf numFmtId="0" fontId="2" fillId="0" borderId="0" xfId="0" applyFont="1" applyAlignment="1">
      <alignment vertical="top" wrapText="1"/>
    </xf>
    <xf numFmtId="0" fontId="20" fillId="0" borderId="6" xfId="0" applyFont="1" applyBorder="1" applyAlignment="1" applyProtection="1">
      <alignment wrapText="1"/>
    </xf>
    <xf numFmtId="0" fontId="18" fillId="0" borderId="6" xfId="0" applyFont="1" applyBorder="1" applyAlignment="1" applyProtection="1">
      <alignment vertical="top" wrapText="1"/>
    </xf>
    <xf numFmtId="0" fontId="18" fillId="0" borderId="6" xfId="0" applyFont="1" applyFill="1" applyBorder="1" applyAlignment="1" applyProtection="1">
      <alignment horizontal="left"/>
    </xf>
    <xf numFmtId="0" fontId="19" fillId="0" borderId="6" xfId="0" applyFont="1" applyBorder="1" applyAlignment="1" applyProtection="1">
      <alignment vertical="top" wrapText="1"/>
    </xf>
    <xf numFmtId="0" fontId="23" fillId="0" borderId="0" xfId="0" applyFont="1" applyFill="1" applyAlignment="1" applyProtection="1">
      <alignment vertical="top" wrapText="1"/>
    </xf>
    <xf numFmtId="0" fontId="24" fillId="0" borderId="0" xfId="0" applyFont="1" applyAlignment="1" applyProtection="1">
      <alignment vertical="top" wrapText="1"/>
    </xf>
    <xf numFmtId="0" fontId="18" fillId="8" borderId="6" xfId="0" applyFont="1" applyFill="1" applyBorder="1" applyAlignment="1" applyProtection="1">
      <alignment horizontal="left"/>
    </xf>
    <xf numFmtId="0" fontId="22" fillId="0" borderId="0" xfId="0" applyFont="1" applyAlignment="1" applyProtection="1">
      <alignment vertical="top" wrapText="1"/>
    </xf>
    <xf numFmtId="0" fontId="23" fillId="0" borderId="0" xfId="0" applyFont="1" applyAlignment="1" applyProtection="1">
      <alignment vertical="top" wrapText="1"/>
    </xf>
    <xf numFmtId="3" fontId="23" fillId="0" borderId="0" xfId="0" applyNumberFormat="1" applyFont="1" applyAlignment="1" applyProtection="1">
      <alignment vertical="top" wrapText="1"/>
    </xf>
    <xf numFmtId="0" fontId="2" fillId="8" borderId="0" xfId="0" applyFont="1" applyFill="1" applyAlignment="1" applyProtection="1">
      <alignment vertical="top" wrapText="1"/>
    </xf>
    <xf numFmtId="3" fontId="2" fillId="8" borderId="0" xfId="0" applyNumberFormat="1" applyFont="1" applyFill="1" applyAlignment="1" applyProtection="1">
      <alignment vertical="top" wrapText="1"/>
    </xf>
    <xf numFmtId="0" fontId="2" fillId="0" borderId="0" xfId="0" applyFont="1" applyAlignment="1" applyProtection="1">
      <alignment vertical="top" wrapText="1"/>
    </xf>
    <xf numFmtId="3" fontId="2" fillId="0" borderId="0" xfId="0" applyNumberFormat="1" applyFont="1" applyAlignment="1" applyProtection="1">
      <alignment vertical="top" wrapText="1"/>
    </xf>
    <xf numFmtId="1" fontId="2" fillId="0" borderId="0" xfId="0" applyNumberFormat="1" applyFont="1" applyAlignment="1" applyProtection="1">
      <alignment vertical="top" wrapText="1"/>
    </xf>
    <xf numFmtId="0" fontId="20" fillId="0" borderId="6" xfId="0" applyFont="1" applyFill="1" applyBorder="1" applyAlignment="1" applyProtection="1">
      <alignment vertical="top" wrapText="1"/>
    </xf>
    <xf numFmtId="0" fontId="20" fillId="0" borderId="6" xfId="0" applyFont="1" applyBorder="1" applyAlignment="1" applyProtection="1">
      <alignment vertical="top" wrapText="1"/>
    </xf>
    <xf numFmtId="165" fontId="2" fillId="0" borderId="0" xfId="21" applyNumberFormat="1" applyFont="1" applyAlignment="1" applyProtection="1">
      <alignment vertical="top" wrapText="1"/>
    </xf>
    <xf numFmtId="0" fontId="17" fillId="8" borderId="6" xfId="0" applyFont="1" applyFill="1" applyBorder="1" applyAlignment="1" applyProtection="1">
      <alignment horizontal="left"/>
    </xf>
    <xf numFmtId="0" fontId="18" fillId="8" borderId="6" xfId="0" applyNumberFormat="1" applyFont="1" applyFill="1" applyBorder="1" applyAlignment="1" applyProtection="1"/>
    <xf numFmtId="9" fontId="2" fillId="0" borderId="0" xfId="21" applyFont="1" applyAlignment="1" applyProtection="1">
      <alignment vertical="top" wrapText="1"/>
    </xf>
    <xf numFmtId="0" fontId="18" fillId="8" borderId="6" xfId="0" applyNumberFormat="1" applyFont="1" applyFill="1" applyBorder="1" applyAlignment="1" applyProtection="1">
      <alignment wrapText="1"/>
    </xf>
    <xf numFmtId="0" fontId="23" fillId="0" borderId="0" xfId="0" applyFont="1" applyAlignment="1" applyProtection="1">
      <alignment vertical="top"/>
    </xf>
    <xf numFmtId="0" fontId="23" fillId="3" borderId="6" xfId="19" applyNumberFormat="1" applyFont="1" applyFill="1" applyBorder="1" applyAlignment="1" applyProtection="1">
      <alignment horizontal="center"/>
    </xf>
    <xf numFmtId="0" fontId="25" fillId="0" borderId="0" xfId="19" applyFont="1" applyAlignment="1" applyProtection="1">
      <alignment vertical="top" wrapText="1"/>
    </xf>
    <xf numFmtId="0" fontId="24" fillId="9" borderId="6" xfId="0" applyFont="1" applyFill="1" applyBorder="1" applyAlignment="1" applyProtection="1">
      <alignment horizontal="center" vertical="top" wrapText="1"/>
    </xf>
    <xf numFmtId="0" fontId="23" fillId="0" borderId="7" xfId="0" applyFont="1" applyFill="1" applyBorder="1" applyAlignment="1" applyProtection="1">
      <alignment vertical="top" wrapText="1"/>
    </xf>
    <xf numFmtId="0" fontId="23" fillId="0" borderId="0" xfId="0" applyFont="1" applyFill="1" applyBorder="1" applyAlignment="1" applyProtection="1">
      <alignment vertical="top" wrapText="1"/>
    </xf>
    <xf numFmtId="0" fontId="23" fillId="0" borderId="0" xfId="0" applyFont="1" applyBorder="1" applyAlignment="1" applyProtection="1">
      <alignment vertical="top" wrapText="1"/>
    </xf>
    <xf numFmtId="0" fontId="23" fillId="0" borderId="6" xfId="0" applyFont="1" applyFill="1" applyBorder="1" applyAlignment="1" applyProtection="1">
      <alignment vertical="top" wrapText="1"/>
    </xf>
    <xf numFmtId="0" fontId="26" fillId="0" borderId="0" xfId="0" applyFont="1" applyAlignment="1" applyProtection="1">
      <alignment vertical="top" wrapText="1"/>
    </xf>
    <xf numFmtId="0" fontId="23" fillId="0" borderId="0" xfId="0" applyFont="1" applyAlignment="1" applyProtection="1">
      <alignment horizontal="left" vertical="top" wrapText="1"/>
    </xf>
    <xf numFmtId="0" fontId="23" fillId="0" borderId="0" xfId="0" applyFont="1" applyBorder="1" applyAlignment="1" applyProtection="1">
      <alignment horizontal="left" vertical="top" wrapText="1"/>
    </xf>
    <xf numFmtId="0" fontId="23" fillId="0" borderId="8" xfId="0" applyFont="1" applyBorder="1" applyAlignment="1" applyProtection="1">
      <alignment vertical="top" wrapText="1"/>
    </xf>
    <xf numFmtId="0" fontId="24" fillId="3" borderId="9" xfId="2" applyNumberFormat="1" applyFont="1" applyBorder="1" applyAlignment="1" applyProtection="1">
      <alignment horizontal="center"/>
    </xf>
    <xf numFmtId="0" fontId="27" fillId="0" borderId="9" xfId="0" applyFont="1" applyBorder="1" applyAlignment="1" applyProtection="1">
      <alignment wrapText="1"/>
    </xf>
    <xf numFmtId="0" fontId="24" fillId="0" borderId="9" xfId="0" applyFont="1" applyFill="1" applyBorder="1" applyAlignment="1" applyProtection="1">
      <alignment horizontal="center" wrapText="1"/>
    </xf>
    <xf numFmtId="0" fontId="23" fillId="0" borderId="10" xfId="0" applyFont="1" applyBorder="1" applyAlignment="1" applyProtection="1">
      <alignment vertical="top" wrapText="1"/>
    </xf>
    <xf numFmtId="3" fontId="23" fillId="0" borderId="9" xfId="0" applyNumberFormat="1" applyFont="1" applyFill="1" applyBorder="1" applyAlignment="1" applyProtection="1">
      <alignment horizontal="right" wrapText="1"/>
    </xf>
    <xf numFmtId="0" fontId="23" fillId="0" borderId="11" xfId="0" applyFont="1" applyBorder="1" applyAlignment="1" applyProtection="1">
      <alignment vertical="top" wrapText="1"/>
    </xf>
    <xf numFmtId="0" fontId="24" fillId="0" borderId="9" xfId="0" applyFont="1" applyBorder="1" applyAlignment="1" applyProtection="1">
      <alignment wrapText="1"/>
    </xf>
    <xf numFmtId="3" fontId="24" fillId="9" borderId="9" xfId="0" applyNumberFormat="1" applyFont="1" applyFill="1" applyBorder="1" applyAlignment="1" applyProtection="1">
      <alignment horizontal="right"/>
    </xf>
    <xf numFmtId="0" fontId="28" fillId="0" borderId="0" xfId="0" applyFont="1" applyAlignment="1" applyProtection="1">
      <alignment vertical="top" wrapText="1"/>
    </xf>
    <xf numFmtId="0" fontId="24" fillId="3" borderId="6" xfId="2" applyNumberFormat="1" applyFont="1" applyFill="1" applyBorder="1" applyAlignment="1" applyProtection="1">
      <alignment horizontal="center"/>
    </xf>
    <xf numFmtId="0" fontId="23" fillId="8" borderId="6" xfId="0" applyFont="1" applyFill="1" applyBorder="1" applyAlignment="1" applyProtection="1">
      <alignment vertical="top" wrapText="1"/>
    </xf>
    <xf numFmtId="3" fontId="28" fillId="0" borderId="0" xfId="0" applyNumberFormat="1" applyFont="1" applyAlignment="1" applyProtection="1">
      <alignment vertical="top" wrapText="1"/>
    </xf>
    <xf numFmtId="165" fontId="28" fillId="0" borderId="0" xfId="21" applyNumberFormat="1" applyFont="1" applyAlignment="1" applyProtection="1">
      <alignment vertical="top" wrapText="1"/>
    </xf>
    <xf numFmtId="165" fontId="28" fillId="0" borderId="0" xfId="0" applyNumberFormat="1" applyFont="1" applyAlignment="1" applyProtection="1">
      <alignment vertical="top" wrapText="1"/>
    </xf>
    <xf numFmtId="10" fontId="28" fillId="0" borderId="0" xfId="0" applyNumberFormat="1" applyFont="1" applyAlignment="1" applyProtection="1">
      <alignment vertical="top" wrapText="1"/>
    </xf>
    <xf numFmtId="0" fontId="23" fillId="0" borderId="6" xfId="0" applyFont="1" applyBorder="1" applyAlignment="1" applyProtection="1">
      <alignment vertical="top" wrapText="1"/>
    </xf>
    <xf numFmtId="3" fontId="23" fillId="9" borderId="6" xfId="19" applyNumberFormat="1" applyFont="1" applyFill="1" applyBorder="1" applyAlignment="1" applyProtection="1">
      <alignment horizontal="right"/>
    </xf>
    <xf numFmtId="0" fontId="24" fillId="0" borderId="0" xfId="0" applyFont="1" applyFill="1" applyBorder="1" applyAlignment="1" applyProtection="1">
      <alignment horizontal="center" vertical="top" wrapText="1"/>
    </xf>
    <xf numFmtId="0" fontId="23" fillId="0" borderId="11" xfId="0" applyFont="1" applyFill="1" applyBorder="1" applyAlignment="1" applyProtection="1">
      <alignment horizontal="left"/>
    </xf>
    <xf numFmtId="0" fontId="23" fillId="0" borderId="12" xfId="0" applyFont="1" applyFill="1" applyBorder="1" applyAlignment="1" applyProtection="1">
      <alignment vertical="top" wrapText="1"/>
    </xf>
    <xf numFmtId="0" fontId="23" fillId="0" borderId="13" xfId="0" applyFont="1" applyFill="1" applyBorder="1" applyAlignment="1" applyProtection="1">
      <alignment vertical="top" wrapText="1"/>
    </xf>
    <xf numFmtId="165" fontId="29" fillId="9" borderId="6" xfId="21" applyNumberFormat="1" applyFont="1" applyFill="1" applyBorder="1" applyAlignment="1" applyProtection="1">
      <alignment horizontal="center" vertical="top" wrapText="1"/>
    </xf>
    <xf numFmtId="0" fontId="23" fillId="0" borderId="6" xfId="0" applyFont="1" applyFill="1" applyBorder="1" applyAlignment="1" applyProtection="1">
      <alignment horizontal="left"/>
    </xf>
    <xf numFmtId="170" fontId="29" fillId="9" borderId="6" xfId="4" applyNumberFormat="1" applyFont="1" applyFill="1" applyBorder="1" applyAlignment="1" applyProtection="1">
      <alignment horizontal="center" vertical="top" wrapText="1"/>
    </xf>
    <xf numFmtId="0" fontId="27" fillId="0" borderId="6" xfId="0" applyFont="1" applyFill="1" applyBorder="1" applyAlignment="1" applyProtection="1">
      <alignment vertical="top" wrapText="1"/>
    </xf>
    <xf numFmtId="0" fontId="29" fillId="0" borderId="6" xfId="0" applyFont="1" applyFill="1" applyBorder="1" applyAlignment="1" applyProtection="1">
      <alignment vertical="top" wrapText="1"/>
    </xf>
    <xf numFmtId="0" fontId="23" fillId="0" borderId="6" xfId="0" applyFont="1" applyBorder="1" applyAlignment="1" applyProtection="1">
      <alignment horizontal="right"/>
      <protection locked="0"/>
    </xf>
    <xf numFmtId="3" fontId="23" fillId="3" borderId="6" xfId="2" applyNumberFormat="1" applyFont="1" applyBorder="1" applyAlignment="1" applyProtection="1">
      <alignment horizontal="right"/>
    </xf>
    <xf numFmtId="0" fontId="27" fillId="0" borderId="6" xfId="0" applyFont="1" applyBorder="1" applyAlignment="1" applyProtection="1">
      <alignment vertical="top" wrapText="1"/>
    </xf>
    <xf numFmtId="0" fontId="29" fillId="0" borderId="6" xfId="0" applyFont="1" applyBorder="1" applyAlignment="1" applyProtection="1">
      <alignment horizontal="right"/>
      <protection locked="0"/>
    </xf>
    <xf numFmtId="0" fontId="31" fillId="0" borderId="0" xfId="0" applyFont="1" applyFill="1" applyBorder="1" applyAlignment="1" applyProtection="1">
      <alignment vertical="top" wrapText="1"/>
    </xf>
    <xf numFmtId="0" fontId="30" fillId="0" borderId="0" xfId="0" applyFont="1" applyAlignment="1" applyProtection="1">
      <alignment vertical="top" wrapText="1"/>
    </xf>
    <xf numFmtId="0" fontId="23" fillId="0" borderId="0" xfId="0" applyFont="1" applyFill="1" applyAlignment="1" applyProtection="1">
      <alignment horizontal="left" vertical="top" wrapText="1"/>
    </xf>
    <xf numFmtId="3" fontId="23" fillId="0" borderId="0" xfId="2" applyNumberFormat="1" applyFont="1" applyFill="1" applyBorder="1" applyAlignment="1" applyProtection="1">
      <alignment horizontal="right"/>
    </xf>
    <xf numFmtId="0" fontId="32" fillId="0" borderId="14" xfId="0" applyFont="1" applyBorder="1" applyAlignment="1" applyProtection="1">
      <alignment vertical="top" wrapText="1"/>
    </xf>
    <xf numFmtId="0" fontId="24" fillId="3" borderId="7" xfId="2" applyNumberFormat="1" applyFont="1" applyFill="1" applyBorder="1" applyAlignment="1" applyProtection="1">
      <alignment horizontal="center"/>
    </xf>
    <xf numFmtId="0" fontId="30" fillId="0" borderId="8" xfId="0" applyFont="1" applyBorder="1" applyAlignment="1" applyProtection="1">
      <alignment vertical="top" wrapText="1"/>
    </xf>
    <xf numFmtId="0" fontId="30" fillId="0" borderId="15" xfId="0" applyFont="1" applyBorder="1" applyAlignment="1" applyProtection="1">
      <alignment vertical="top" wrapText="1"/>
    </xf>
    <xf numFmtId="0" fontId="32" fillId="0" borderId="16" xfId="0" applyFont="1" applyBorder="1" applyAlignment="1" applyProtection="1">
      <alignment vertical="top" wrapText="1"/>
    </xf>
    <xf numFmtId="2" fontId="33" fillId="0" borderId="6" xfId="0" applyNumberFormat="1" applyFont="1" applyFill="1" applyBorder="1" applyAlignment="1" applyProtection="1">
      <alignment vertical="top" wrapText="1"/>
      <protection locked="0"/>
    </xf>
    <xf numFmtId="0" fontId="30" fillId="0" borderId="11" xfId="0" applyFont="1" applyBorder="1" applyAlignment="1" applyProtection="1">
      <alignment vertical="top" wrapText="1"/>
    </xf>
    <xf numFmtId="0" fontId="34" fillId="0" borderId="0" xfId="19" applyFont="1" applyProtection="1">
      <alignment vertical="top"/>
    </xf>
    <xf numFmtId="10" fontId="34" fillId="0" borderId="6" xfId="0" applyNumberFormat="1" applyFont="1" applyBorder="1" applyAlignment="1" applyProtection="1">
      <alignment horizontal="center" vertical="top" wrapText="1"/>
    </xf>
    <xf numFmtId="0" fontId="35" fillId="0" borderId="0" xfId="19" applyFont="1" applyProtection="1">
      <alignment vertical="top"/>
    </xf>
    <xf numFmtId="0" fontId="24" fillId="10" borderId="13" xfId="0" applyFont="1" applyFill="1" applyBorder="1" applyAlignment="1" applyProtection="1">
      <alignment horizontal="center" vertical="center"/>
    </xf>
    <xf numFmtId="0" fontId="24" fillId="10" borderId="15" xfId="0" applyFont="1" applyFill="1" applyBorder="1" applyAlignment="1" applyProtection="1">
      <alignment horizontal="center" vertical="center"/>
    </xf>
    <xf numFmtId="0" fontId="24" fillId="10" borderId="6" xfId="0" applyFont="1" applyFill="1" applyBorder="1" applyAlignment="1" applyProtection="1">
      <alignment horizontal="center" vertical="center"/>
    </xf>
    <xf numFmtId="3" fontId="23" fillId="0" borderId="0" xfId="2" applyNumberFormat="1" applyFont="1" applyFill="1" applyBorder="1" applyAlignment="1" applyProtection="1">
      <alignment horizontal="center"/>
    </xf>
    <xf numFmtId="0" fontId="23" fillId="0" borderId="0" xfId="0" applyFont="1" applyAlignment="1" applyProtection="1">
      <alignment horizontal="left" vertical="top" wrapText="1"/>
      <protection locked="0"/>
    </xf>
    <xf numFmtId="0" fontId="23" fillId="0" borderId="0" xfId="0" applyFont="1" applyAlignment="1" applyProtection="1">
      <alignment vertical="top" wrapText="1"/>
      <protection locked="0"/>
    </xf>
    <xf numFmtId="0" fontId="30" fillId="0" borderId="6" xfId="0" applyFont="1" applyBorder="1" applyAlignment="1" applyProtection="1">
      <alignment vertical="top" wrapText="1"/>
    </xf>
    <xf numFmtId="0" fontId="37" fillId="0" borderId="0" xfId="0" applyFont="1" applyAlignment="1" applyProtection="1">
      <alignment horizontal="left" vertical="top" wrapText="1"/>
    </xf>
    <xf numFmtId="164" fontId="37" fillId="0" borderId="0" xfId="4" applyFont="1" applyAlignment="1" applyProtection="1">
      <alignment vertical="top" wrapText="1"/>
    </xf>
    <xf numFmtId="0" fontId="30" fillId="0" borderId="6" xfId="0" applyFont="1" applyFill="1" applyBorder="1" applyAlignment="1" applyProtection="1">
      <alignment vertical="top" wrapText="1"/>
    </xf>
    <xf numFmtId="165" fontId="23" fillId="9" borderId="6" xfId="21" applyNumberFormat="1" applyFont="1" applyFill="1" applyBorder="1" applyAlignment="1" applyProtection="1">
      <alignment horizontal="right"/>
    </xf>
    <xf numFmtId="4" fontId="28" fillId="0" borderId="0" xfId="0" applyNumberFormat="1" applyFont="1" applyAlignment="1" applyProtection="1">
      <alignment vertical="top" wrapText="1"/>
      <protection locked="0"/>
    </xf>
    <xf numFmtId="0" fontId="26" fillId="0" borderId="17" xfId="0" applyFont="1" applyBorder="1" applyAlignment="1" applyProtection="1">
      <alignment vertical="top" wrapText="1"/>
    </xf>
    <xf numFmtId="0" fontId="24" fillId="10" borderId="18" xfId="0" applyFont="1" applyFill="1" applyBorder="1" applyAlignment="1" applyProtection="1">
      <alignment horizontal="center" vertical="center"/>
    </xf>
    <xf numFmtId="0" fontId="23" fillId="0" borderId="0" xfId="0" applyFont="1" applyFill="1" applyBorder="1" applyAlignment="1" applyProtection="1">
      <alignment horizontal="left" vertical="top" wrapText="1"/>
    </xf>
    <xf numFmtId="0" fontId="33" fillId="0" borderId="0" xfId="0" applyFont="1" applyAlignment="1" applyProtection="1">
      <alignment vertical="top" wrapText="1"/>
    </xf>
    <xf numFmtId="0" fontId="23" fillId="8" borderId="11" xfId="0" applyNumberFormat="1" applyFont="1" applyFill="1" applyBorder="1" applyAlignment="1" applyProtection="1"/>
    <xf numFmtId="0" fontId="24" fillId="0" borderId="6" xfId="2" applyNumberFormat="1" applyFont="1" applyFill="1" applyBorder="1" applyAlignment="1" applyProtection="1">
      <alignment horizontal="center"/>
    </xf>
    <xf numFmtId="2" fontId="23" fillId="0" borderId="6" xfId="2" applyNumberFormat="1" applyFont="1" applyFill="1" applyBorder="1" applyAlignment="1" applyProtection="1"/>
    <xf numFmtId="0" fontId="23" fillId="8" borderId="11" xfId="0" applyNumberFormat="1" applyFont="1" applyFill="1" applyBorder="1" applyAlignment="1" applyProtection="1">
      <alignment wrapText="1"/>
    </xf>
    <xf numFmtId="0" fontId="23" fillId="8" borderId="15" xfId="0" applyNumberFormat="1" applyFont="1" applyFill="1" applyBorder="1" applyAlignment="1" applyProtection="1"/>
    <xf numFmtId="0" fontId="23" fillId="8" borderId="6" xfId="0" applyFont="1" applyFill="1" applyBorder="1" applyAlignment="1" applyProtection="1"/>
    <xf numFmtId="0" fontId="23" fillId="8" borderId="19" xfId="0" applyFont="1" applyFill="1" applyBorder="1" applyAlignment="1" applyProtection="1"/>
    <xf numFmtId="0" fontId="23" fillId="8" borderId="12" xfId="0" applyFont="1" applyFill="1" applyBorder="1" applyAlignment="1" applyProtection="1"/>
    <xf numFmtId="0" fontId="23" fillId="0" borderId="15" xfId="0" applyFont="1" applyBorder="1" applyAlignment="1" applyProtection="1">
      <alignment vertical="top" wrapText="1"/>
    </xf>
    <xf numFmtId="3" fontId="29" fillId="0" borderId="0" xfId="0" applyNumberFormat="1" applyFont="1" applyFill="1" applyBorder="1" applyAlignment="1" applyProtection="1">
      <alignment vertical="top" wrapText="1"/>
    </xf>
    <xf numFmtId="0" fontId="24" fillId="0" borderId="0" xfId="0" applyFont="1" applyAlignment="1">
      <alignment vertical="top" wrapText="1"/>
    </xf>
    <xf numFmtId="0" fontId="23" fillId="8" borderId="0" xfId="0" applyFont="1" applyFill="1" applyBorder="1" applyAlignment="1" applyProtection="1"/>
    <xf numFmtId="0" fontId="24" fillId="0" borderId="0" xfId="0" applyFont="1" applyFill="1" applyBorder="1" applyAlignment="1" applyProtection="1">
      <alignment horizontal="center"/>
    </xf>
    <xf numFmtId="0" fontId="24" fillId="8" borderId="0" xfId="0" applyFont="1" applyFill="1" applyBorder="1" applyAlignment="1" applyProtection="1"/>
    <xf numFmtId="0" fontId="27" fillId="8" borderId="0" xfId="0" applyFont="1" applyFill="1" applyBorder="1" applyAlignment="1" applyProtection="1"/>
    <xf numFmtId="3" fontId="23" fillId="0" borderId="0" xfId="0" applyNumberFormat="1" applyFont="1" applyFill="1" applyBorder="1" applyAlignment="1" applyProtection="1">
      <alignment vertical="top" wrapText="1"/>
    </xf>
    <xf numFmtId="0" fontId="34" fillId="0" borderId="6" xfId="0" applyFont="1" applyFill="1" applyBorder="1" applyAlignment="1">
      <alignment horizontal="center"/>
    </xf>
    <xf numFmtId="0" fontId="24" fillId="0" borderId="6" xfId="0" applyFont="1" applyFill="1" applyBorder="1" applyAlignment="1">
      <alignment horizontal="center"/>
    </xf>
    <xf numFmtId="0" fontId="23" fillId="0" borderId="6" xfId="0" applyFont="1" applyFill="1" applyBorder="1" applyAlignment="1"/>
    <xf numFmtId="1" fontId="33" fillId="0" borderId="0" xfId="0" applyNumberFormat="1" applyFont="1" applyFill="1" applyBorder="1" applyAlignment="1">
      <alignment horizontal="right"/>
    </xf>
    <xf numFmtId="165" fontId="33" fillId="0" borderId="6" xfId="0" applyNumberFormat="1" applyFont="1" applyFill="1" applyBorder="1" applyAlignment="1">
      <alignment horizontal="center"/>
    </xf>
    <xf numFmtId="165" fontId="34" fillId="0" borderId="6" xfId="0" applyNumberFormat="1" applyFont="1" applyFill="1" applyBorder="1" applyAlignment="1">
      <alignment horizontal="center"/>
    </xf>
    <xf numFmtId="0" fontId="43" fillId="0" borderId="0" xfId="0" applyFont="1" applyFill="1" applyBorder="1" applyAlignment="1" applyProtection="1">
      <alignment vertical="center"/>
    </xf>
    <xf numFmtId="0" fontId="24" fillId="0" borderId="0" xfId="0" applyFont="1" applyFill="1" applyBorder="1" applyAlignment="1" applyProtection="1">
      <alignment vertical="top" wrapText="1"/>
    </xf>
    <xf numFmtId="3" fontId="23" fillId="0" borderId="0" xfId="0" applyNumberFormat="1" applyFont="1" applyFill="1" applyBorder="1" applyAlignment="1" applyProtection="1">
      <alignment horizontal="right"/>
    </xf>
    <xf numFmtId="3" fontId="24" fillId="0" borderId="0" xfId="0" applyNumberFormat="1" applyFont="1" applyFill="1" applyBorder="1" applyAlignment="1" applyProtection="1">
      <alignment vertical="top" wrapText="1"/>
    </xf>
    <xf numFmtId="3" fontId="23" fillId="0" borderId="0" xfId="19" applyNumberFormat="1" applyFont="1" applyFill="1" applyBorder="1" applyAlignment="1" applyProtection="1">
      <alignment horizontal="right"/>
    </xf>
    <xf numFmtId="0" fontId="33" fillId="0" borderId="0" xfId="0" applyFont="1" applyFill="1" applyBorder="1" applyAlignment="1" applyProtection="1">
      <alignment vertical="top" wrapText="1"/>
    </xf>
    <xf numFmtId="0" fontId="24" fillId="0" borderId="6" xfId="0" applyFont="1" applyFill="1" applyBorder="1" applyProtection="1"/>
    <xf numFmtId="0" fontId="23" fillId="0" borderId="0" xfId="0" applyFont="1" applyFill="1" applyProtection="1"/>
    <xf numFmtId="0" fontId="23" fillId="0" borderId="0" xfId="0" applyFont="1" applyProtection="1"/>
    <xf numFmtId="0" fontId="23" fillId="0" borderId="0" xfId="0" applyFont="1" applyBorder="1" applyProtection="1">
      <protection locked="0"/>
    </xf>
    <xf numFmtId="0" fontId="23" fillId="0" borderId="0" xfId="0" applyFont="1" applyProtection="1">
      <protection locked="0"/>
    </xf>
    <xf numFmtId="0" fontId="24" fillId="9" borderId="6" xfId="0" applyFont="1" applyFill="1" applyBorder="1" applyAlignment="1" applyProtection="1">
      <alignment horizontal="left" vertical="center" wrapText="1"/>
    </xf>
    <xf numFmtId="4" fontId="24" fillId="9" borderId="6" xfId="0" applyNumberFormat="1" applyFont="1" applyFill="1" applyBorder="1" applyProtection="1"/>
    <xf numFmtId="0" fontId="23" fillId="8" borderId="6" xfId="0" applyFont="1" applyFill="1" applyBorder="1" applyAlignment="1" applyProtection="1">
      <alignment vertical="center" wrapText="1"/>
    </xf>
    <xf numFmtId="0" fontId="24" fillId="9" borderId="6" xfId="0" applyFont="1" applyFill="1" applyBorder="1" applyAlignment="1" applyProtection="1">
      <alignment vertical="center" wrapText="1"/>
    </xf>
    <xf numFmtId="0" fontId="24" fillId="8" borderId="12" xfId="0" applyFont="1" applyFill="1" applyBorder="1" applyAlignment="1" applyProtection="1">
      <alignment vertical="center"/>
    </xf>
    <xf numFmtId="0" fontId="23" fillId="0" borderId="19" xfId="0" applyFont="1" applyBorder="1" applyProtection="1"/>
    <xf numFmtId="0" fontId="23" fillId="0" borderId="20" xfId="0" applyFont="1" applyBorder="1" applyProtection="1"/>
    <xf numFmtId="0" fontId="44" fillId="8" borderId="0" xfId="0" applyFont="1" applyFill="1" applyAlignment="1" applyProtection="1"/>
    <xf numFmtId="9" fontId="23" fillId="8" borderId="0" xfId="0" applyNumberFormat="1" applyFont="1" applyFill="1" applyAlignment="1" applyProtection="1"/>
    <xf numFmtId="0" fontId="23" fillId="8" borderId="0" xfId="0" applyFont="1" applyFill="1" applyAlignment="1" applyProtection="1"/>
    <xf numFmtId="0" fontId="44" fillId="8" borderId="0" xfId="0" applyFont="1" applyFill="1" applyBorder="1" applyAlignment="1" applyProtection="1"/>
    <xf numFmtId="3" fontId="44" fillId="8" borderId="0" xfId="0" applyNumberFormat="1" applyFont="1" applyFill="1" applyBorder="1" applyAlignment="1" applyProtection="1"/>
    <xf numFmtId="4" fontId="23" fillId="0" borderId="21" xfId="0" applyNumberFormat="1" applyFont="1" applyFill="1" applyBorder="1" applyAlignment="1" applyProtection="1"/>
    <xf numFmtId="3" fontId="23" fillId="8" borderId="0" xfId="0" applyNumberFormat="1" applyFont="1" applyFill="1" applyBorder="1" applyAlignment="1" applyProtection="1"/>
    <xf numFmtId="178" fontId="23" fillId="8" borderId="22" xfId="0" applyNumberFormat="1" applyFont="1" applyFill="1" applyBorder="1" applyAlignment="1" applyProtection="1">
      <alignment horizontal="center" vertical="center"/>
    </xf>
    <xf numFmtId="178" fontId="23" fillId="8" borderId="23" xfId="0" applyNumberFormat="1" applyFont="1" applyFill="1" applyBorder="1" applyAlignment="1" applyProtection="1">
      <alignment horizontal="center" vertical="center"/>
    </xf>
    <xf numFmtId="3" fontId="23" fillId="8" borderId="23" xfId="0" applyNumberFormat="1" applyFont="1" applyFill="1" applyBorder="1" applyAlignment="1" applyProtection="1">
      <alignment horizontal="center" vertical="center"/>
    </xf>
    <xf numFmtId="178" fontId="23" fillId="8" borderId="24" xfId="0" applyNumberFormat="1" applyFont="1" applyFill="1" applyBorder="1" applyAlignment="1" applyProtection="1">
      <alignment horizontal="center" vertical="center"/>
    </xf>
    <xf numFmtId="178" fontId="23" fillId="8" borderId="25" xfId="0" applyNumberFormat="1" applyFont="1" applyFill="1" applyBorder="1" applyAlignment="1" applyProtection="1">
      <alignment horizontal="center" vertical="center"/>
    </xf>
    <xf numFmtId="0" fontId="23" fillId="8" borderId="0" xfId="0" applyFont="1" applyFill="1" applyAlignment="1" applyProtection="1">
      <alignment vertical="center"/>
    </xf>
    <xf numFmtId="0" fontId="23" fillId="8" borderId="26" xfId="0" applyFont="1" applyFill="1" applyBorder="1" applyAlignment="1" applyProtection="1"/>
    <xf numFmtId="0" fontId="23" fillId="8" borderId="27" xfId="0" applyFont="1" applyFill="1" applyBorder="1" applyAlignment="1" applyProtection="1"/>
    <xf numFmtId="0" fontId="23" fillId="8" borderId="21" xfId="0" applyFont="1" applyFill="1" applyBorder="1" applyAlignment="1" applyProtection="1"/>
    <xf numFmtId="0" fontId="23" fillId="0" borderId="21" xfId="0" applyFont="1" applyFill="1" applyBorder="1" applyAlignment="1" applyProtection="1"/>
    <xf numFmtId="0" fontId="24" fillId="8" borderId="26" xfId="0" applyFont="1" applyFill="1" applyBorder="1" applyAlignment="1" applyProtection="1"/>
    <xf numFmtId="0" fontId="24" fillId="8" borderId="27" xfId="0" applyFont="1" applyFill="1" applyBorder="1" applyAlignment="1" applyProtection="1"/>
    <xf numFmtId="3" fontId="23" fillId="8" borderId="28" xfId="0" applyNumberFormat="1" applyFont="1" applyFill="1" applyBorder="1" applyAlignment="1" applyProtection="1"/>
    <xf numFmtId="0" fontId="23" fillId="8" borderId="29" xfId="0" applyFont="1" applyFill="1" applyBorder="1" applyAlignment="1" applyProtection="1"/>
    <xf numFmtId="3" fontId="23" fillId="8" borderId="30" xfId="0" applyNumberFormat="1" applyFont="1" applyFill="1" applyBorder="1" applyAlignment="1" applyProtection="1">
      <alignment horizontal="center"/>
    </xf>
    <xf numFmtId="3" fontId="23" fillId="8" borderId="31" xfId="0" applyNumberFormat="1" applyFont="1" applyFill="1" applyBorder="1" applyAlignment="1" applyProtection="1">
      <alignment horizontal="center"/>
    </xf>
    <xf numFmtId="3" fontId="29" fillId="8" borderId="32" xfId="0" applyNumberFormat="1" applyFont="1" applyFill="1" applyBorder="1" applyAlignment="1" applyProtection="1">
      <alignment horizontal="center"/>
    </xf>
    <xf numFmtId="3" fontId="23" fillId="8" borderId="33" xfId="0" applyNumberFormat="1" applyFont="1" applyFill="1" applyBorder="1" applyAlignment="1" applyProtection="1">
      <alignment horizontal="center"/>
    </xf>
    <xf numFmtId="3" fontId="29" fillId="0" borderId="32" xfId="0" applyNumberFormat="1" applyFont="1" applyFill="1" applyBorder="1" applyAlignment="1" applyProtection="1">
      <alignment horizontal="center"/>
    </xf>
    <xf numFmtId="3" fontId="27" fillId="8" borderId="28" xfId="0" applyNumberFormat="1" applyFont="1" applyFill="1" applyBorder="1" applyAlignment="1" applyProtection="1">
      <alignment horizontal="center"/>
    </xf>
    <xf numFmtId="3" fontId="27" fillId="8" borderId="29" xfId="0" applyNumberFormat="1" applyFont="1" applyFill="1" applyBorder="1" applyAlignment="1" applyProtection="1">
      <alignment horizontal="center"/>
    </xf>
    <xf numFmtId="3" fontId="23" fillId="8" borderId="34" xfId="0" applyNumberFormat="1" applyFont="1" applyFill="1" applyBorder="1" applyAlignment="1" applyProtection="1"/>
    <xf numFmtId="0" fontId="23" fillId="8" borderId="35" xfId="0" applyFont="1" applyFill="1" applyBorder="1" applyAlignment="1" applyProtection="1"/>
    <xf numFmtId="171" fontId="23" fillId="8" borderId="7" xfId="0" applyNumberFormat="1" applyFont="1" applyFill="1" applyBorder="1" applyAlignment="1" applyProtection="1"/>
    <xf numFmtId="171" fontId="23" fillId="8" borderId="36" xfId="0" applyNumberFormat="1" applyFont="1" applyFill="1" applyBorder="1" applyAlignment="1" applyProtection="1"/>
    <xf numFmtId="171" fontId="23" fillId="8" borderId="37" xfId="0" applyNumberFormat="1" applyFont="1" applyFill="1" applyBorder="1" applyAlignment="1" applyProtection="1"/>
    <xf numFmtId="171" fontId="23" fillId="8" borderId="20" xfId="0" applyNumberFormat="1" applyFont="1" applyFill="1" applyBorder="1" applyAlignment="1" applyProtection="1"/>
    <xf numFmtId="3" fontId="23" fillId="8" borderId="7" xfId="0" applyNumberFormat="1" applyFont="1" applyFill="1" applyBorder="1" applyAlignment="1" applyProtection="1"/>
    <xf numFmtId="171" fontId="23" fillId="0" borderId="37" xfId="0" applyNumberFormat="1" applyFont="1" applyFill="1" applyBorder="1" applyAlignment="1" applyProtection="1"/>
    <xf numFmtId="3" fontId="24" fillId="8" borderId="34" xfId="0" applyNumberFormat="1" applyFont="1" applyFill="1" applyBorder="1" applyAlignment="1" applyProtection="1"/>
    <xf numFmtId="177" fontId="24" fillId="8" borderId="35" xfId="21" applyNumberFormat="1" applyFont="1" applyFill="1" applyBorder="1" applyAlignment="1" applyProtection="1"/>
    <xf numFmtId="4" fontId="23" fillId="0" borderId="26" xfId="0" applyNumberFormat="1" applyFont="1" applyBorder="1" applyAlignment="1" applyProtection="1"/>
    <xf numFmtId="4" fontId="23" fillId="8" borderId="27" xfId="21" applyNumberFormat="1" applyFont="1" applyFill="1" applyBorder="1" applyAlignment="1" applyProtection="1">
      <alignment horizontal="right" vertical="center"/>
    </xf>
    <xf numFmtId="4" fontId="23" fillId="8" borderId="21" xfId="0" applyNumberFormat="1" applyFont="1" applyFill="1" applyBorder="1" applyAlignment="1" applyProtection="1">
      <alignment horizontal="right" vertical="center"/>
    </xf>
    <xf numFmtId="4" fontId="23" fillId="0" borderId="21" xfId="0" applyNumberFormat="1" applyFont="1" applyFill="1" applyBorder="1" applyAlignment="1" applyProtection="1">
      <alignment horizontal="right" vertical="center"/>
    </xf>
    <xf numFmtId="4" fontId="23" fillId="8" borderId="0" xfId="0" applyNumberFormat="1" applyFont="1" applyFill="1" applyBorder="1" applyAlignment="1" applyProtection="1">
      <alignment horizontal="right" vertical="center"/>
    </xf>
    <xf numFmtId="4" fontId="23" fillId="8" borderId="26" xfId="0" applyNumberFormat="1" applyFont="1" applyFill="1" applyBorder="1" applyAlignment="1" applyProtection="1">
      <alignment horizontal="right" vertical="center"/>
    </xf>
    <xf numFmtId="168" fontId="23" fillId="8" borderId="27" xfId="21" applyNumberFormat="1" applyFont="1" applyFill="1" applyBorder="1" applyAlignment="1" applyProtection="1">
      <alignment horizontal="right" vertical="center"/>
    </xf>
    <xf numFmtId="175" fontId="23" fillId="8" borderId="0" xfId="0" applyNumberFormat="1" applyFont="1" applyFill="1" applyBorder="1" applyAlignment="1" applyProtection="1">
      <alignment horizontal="right" vertical="center"/>
    </xf>
    <xf numFmtId="0" fontId="42" fillId="8" borderId="0" xfId="0" applyFont="1" applyFill="1" applyBorder="1" applyAlignment="1" applyProtection="1">
      <alignment horizontal="right" vertical="center"/>
    </xf>
    <xf numFmtId="0" fontId="23" fillId="8" borderId="0" xfId="0" applyFont="1" applyFill="1" applyBorder="1" applyAlignment="1" applyProtection="1">
      <alignment horizontal="right" vertical="center"/>
    </xf>
    <xf numFmtId="1" fontId="23" fillId="8" borderId="0" xfId="0" applyNumberFormat="1" applyFont="1" applyFill="1" applyBorder="1" applyAlignment="1" applyProtection="1">
      <alignment horizontal="right" vertical="center"/>
    </xf>
    <xf numFmtId="4" fontId="23" fillId="0" borderId="38" xfId="0" applyNumberFormat="1" applyFont="1" applyBorder="1" applyAlignment="1" applyProtection="1"/>
    <xf numFmtId="4" fontId="24" fillId="11" borderId="39" xfId="0" applyNumberFormat="1" applyFont="1" applyFill="1" applyBorder="1" applyAlignment="1" applyProtection="1"/>
    <xf numFmtId="4" fontId="23" fillId="11" borderId="40" xfId="21" applyNumberFormat="1" applyFont="1" applyFill="1" applyBorder="1" applyProtection="1"/>
    <xf numFmtId="4" fontId="24" fillId="11" borderId="41" xfId="0" applyNumberFormat="1" applyFont="1" applyFill="1" applyBorder="1" applyAlignment="1" applyProtection="1"/>
    <xf numFmtId="4" fontId="24" fillId="11" borderId="42" xfId="0" applyNumberFormat="1" applyFont="1" applyFill="1" applyBorder="1" applyAlignment="1" applyProtection="1"/>
    <xf numFmtId="4" fontId="24" fillId="11" borderId="43" xfId="0" applyNumberFormat="1" applyFont="1" applyFill="1" applyBorder="1" applyAlignment="1" applyProtection="1"/>
    <xf numFmtId="4" fontId="24" fillId="11" borderId="44" xfId="0" applyNumberFormat="1" applyFont="1" applyFill="1" applyBorder="1" applyAlignment="1" applyProtection="1"/>
    <xf numFmtId="4" fontId="24" fillId="8" borderId="0" xfId="0" applyNumberFormat="1" applyFont="1" applyFill="1" applyBorder="1" applyAlignment="1" applyProtection="1"/>
    <xf numFmtId="168" fontId="24" fillId="11" borderId="40" xfId="21" applyNumberFormat="1" applyFont="1" applyFill="1" applyBorder="1" applyProtection="1"/>
    <xf numFmtId="4" fontId="23" fillId="8" borderId="6" xfId="0" applyNumberFormat="1" applyFont="1" applyFill="1" applyBorder="1" applyAlignment="1" applyProtection="1"/>
    <xf numFmtId="4" fontId="23" fillId="8" borderId="34" xfId="0" applyNumberFormat="1" applyFont="1" applyFill="1" applyBorder="1" applyAlignment="1" applyProtection="1"/>
    <xf numFmtId="4" fontId="23" fillId="8" borderId="27" xfId="0" applyNumberFormat="1" applyFont="1" applyFill="1" applyBorder="1" applyAlignment="1" applyProtection="1"/>
    <xf numFmtId="4" fontId="23" fillId="8" borderId="19" xfId="0" applyNumberFormat="1" applyFont="1" applyFill="1" applyBorder="1" applyAlignment="1" applyProtection="1"/>
    <xf numFmtId="4" fontId="23" fillId="8" borderId="12" xfId="0" applyNumberFormat="1" applyFont="1" applyFill="1" applyBorder="1" applyAlignment="1" applyProtection="1"/>
    <xf numFmtId="4" fontId="23" fillId="8" borderId="45" xfId="0" applyNumberFormat="1" applyFont="1" applyFill="1" applyBorder="1" applyAlignment="1" applyProtection="1"/>
    <xf numFmtId="4" fontId="23" fillId="0" borderId="45" xfId="0" applyNumberFormat="1" applyFont="1" applyFill="1" applyBorder="1" applyAlignment="1" applyProtection="1"/>
    <xf numFmtId="4" fontId="23" fillId="8" borderId="0" xfId="0" applyNumberFormat="1" applyFont="1" applyFill="1" applyBorder="1" applyAlignment="1" applyProtection="1"/>
    <xf numFmtId="4" fontId="24" fillId="8" borderId="26" xfId="0" applyNumberFormat="1" applyFont="1" applyFill="1" applyBorder="1" applyAlignment="1" applyProtection="1"/>
    <xf numFmtId="168" fontId="24" fillId="8" borderId="27" xfId="21" applyNumberFormat="1" applyFont="1" applyFill="1" applyBorder="1" applyAlignment="1" applyProtection="1"/>
    <xf numFmtId="4" fontId="23" fillId="8" borderId="26" xfId="0" applyNumberFormat="1" applyFont="1" applyFill="1" applyBorder="1" applyAlignment="1" applyProtection="1"/>
    <xf numFmtId="4" fontId="23" fillId="8" borderId="21" xfId="0" applyNumberFormat="1" applyFont="1" applyFill="1" applyBorder="1" applyAlignment="1" applyProtection="1"/>
    <xf numFmtId="4" fontId="24" fillId="11" borderId="46" xfId="0" applyNumberFormat="1" applyFont="1" applyFill="1" applyBorder="1" applyAlignment="1" applyProtection="1"/>
    <xf numFmtId="4" fontId="24" fillId="11" borderId="47" xfId="21" applyNumberFormat="1" applyFont="1" applyFill="1" applyBorder="1" applyProtection="1"/>
    <xf numFmtId="168" fontId="24" fillId="11" borderId="47" xfId="21" applyNumberFormat="1" applyFont="1" applyFill="1" applyBorder="1" applyAlignment="1" applyProtection="1"/>
    <xf numFmtId="4" fontId="27" fillId="9" borderId="46" xfId="0" applyNumberFormat="1" applyFont="1" applyFill="1" applyBorder="1" applyAlignment="1" applyProtection="1"/>
    <xf numFmtId="4" fontId="29" fillId="9" borderId="47" xfId="0" applyNumberFormat="1" applyFont="1" applyFill="1" applyBorder="1" applyAlignment="1" applyProtection="1"/>
    <xf numFmtId="4" fontId="29" fillId="9" borderId="41" xfId="0" applyNumberFormat="1" applyFont="1" applyFill="1" applyBorder="1" applyAlignment="1" applyProtection="1"/>
    <xf numFmtId="4" fontId="29" fillId="9" borderId="42" xfId="0" applyNumberFormat="1" applyFont="1" applyFill="1" applyBorder="1" applyAlignment="1" applyProtection="1"/>
    <xf numFmtId="4" fontId="29" fillId="9" borderId="43" xfId="0" applyNumberFormat="1" applyFont="1" applyFill="1" applyBorder="1" applyAlignment="1" applyProtection="1"/>
    <xf numFmtId="4" fontId="29" fillId="9" borderId="44" xfId="0" applyNumberFormat="1" applyFont="1" applyFill="1" applyBorder="1" applyAlignment="1" applyProtection="1"/>
    <xf numFmtId="4" fontId="29" fillId="8" borderId="0" xfId="0" applyNumberFormat="1" applyFont="1" applyFill="1" applyBorder="1" applyAlignment="1" applyProtection="1"/>
    <xf numFmtId="4" fontId="27" fillId="9" borderId="47" xfId="0" applyNumberFormat="1" applyFont="1" applyFill="1" applyBorder="1" applyAlignment="1" applyProtection="1"/>
    <xf numFmtId="0" fontId="29" fillId="8" borderId="0" xfId="0" applyFont="1" applyFill="1" applyBorder="1" applyAlignment="1" applyProtection="1"/>
    <xf numFmtId="4" fontId="24" fillId="8" borderId="48" xfId="0" applyNumberFormat="1" applyFont="1" applyFill="1" applyBorder="1" applyAlignment="1" applyProtection="1"/>
    <xf numFmtId="4" fontId="23" fillId="8" borderId="49" xfId="0" applyNumberFormat="1" applyFont="1" applyFill="1" applyBorder="1" applyAlignment="1" applyProtection="1"/>
    <xf numFmtId="4" fontId="23" fillId="8" borderId="50" xfId="0" applyNumberFormat="1" applyFont="1" applyFill="1" applyBorder="1" applyAlignment="1" applyProtection="1"/>
    <xf numFmtId="4" fontId="24" fillId="8" borderId="51" xfId="0" applyNumberFormat="1" applyFont="1" applyFill="1" applyBorder="1" applyAlignment="1" applyProtection="1"/>
    <xf numFmtId="4" fontId="29" fillId="9" borderId="52" xfId="0" applyNumberFormat="1" applyFont="1" applyFill="1" applyBorder="1" applyAlignment="1" applyProtection="1"/>
    <xf numFmtId="4" fontId="29" fillId="9" borderId="53" xfId="0" applyNumberFormat="1" applyFont="1" applyFill="1" applyBorder="1" applyAlignment="1" applyProtection="1"/>
    <xf numFmtId="4" fontId="49" fillId="8" borderId="14" xfId="0" applyNumberFormat="1" applyFont="1" applyFill="1" applyBorder="1" applyAlignment="1" applyProtection="1"/>
    <xf numFmtId="4" fontId="49" fillId="8" borderId="37" xfId="0" applyNumberFormat="1" applyFont="1" applyFill="1" applyBorder="1" applyAlignment="1" applyProtection="1"/>
    <xf numFmtId="4" fontId="29" fillId="0" borderId="37" xfId="0" applyNumberFormat="1" applyFont="1" applyFill="1" applyBorder="1" applyAlignment="1" applyProtection="1"/>
    <xf numFmtId="4" fontId="49" fillId="8" borderId="0" xfId="0" applyNumberFormat="1" applyFont="1" applyFill="1" applyBorder="1" applyAlignment="1" applyProtection="1"/>
    <xf numFmtId="4" fontId="48" fillId="8" borderId="54" xfId="0" applyNumberFormat="1" applyFont="1" applyFill="1" applyBorder="1" applyAlignment="1" applyProtection="1"/>
    <xf numFmtId="0" fontId="49" fillId="8" borderId="0" xfId="0" applyFont="1" applyFill="1" applyBorder="1" applyAlignment="1" applyProtection="1"/>
    <xf numFmtId="4" fontId="29" fillId="8" borderId="34" xfId="0" applyNumberFormat="1" applyFont="1" applyFill="1" applyBorder="1" applyAlignment="1" applyProtection="1"/>
    <xf numFmtId="4" fontId="29" fillId="8" borderId="35" xfId="0" applyNumberFormat="1" applyFont="1" applyFill="1" applyBorder="1" applyAlignment="1" applyProtection="1"/>
    <xf numFmtId="4" fontId="23" fillId="8" borderId="37" xfId="0" applyNumberFormat="1" applyFont="1" applyFill="1" applyBorder="1" applyAlignment="1" applyProtection="1"/>
    <xf numFmtId="4" fontId="23" fillId="0" borderId="37" xfId="0" applyNumberFormat="1" applyFont="1" applyFill="1" applyBorder="1" applyAlignment="1" applyProtection="1"/>
    <xf numFmtId="4" fontId="27" fillId="8" borderId="35" xfId="0" applyNumberFormat="1" applyFont="1" applyFill="1" applyBorder="1" applyAlignment="1" applyProtection="1"/>
    <xf numFmtId="4" fontId="23" fillId="8" borderId="22" xfId="0" applyNumberFormat="1" applyFont="1" applyFill="1" applyBorder="1" applyAlignment="1" applyProtection="1"/>
    <xf numFmtId="4" fontId="23" fillId="8" borderId="51" xfId="0" applyNumberFormat="1" applyFont="1" applyFill="1" applyBorder="1" applyAlignment="1" applyProtection="1"/>
    <xf numFmtId="4" fontId="27" fillId="8" borderId="51" xfId="0" applyNumberFormat="1" applyFont="1" applyFill="1" applyBorder="1" applyAlignment="1" applyProtection="1"/>
    <xf numFmtId="4" fontId="27" fillId="11" borderId="46" xfId="0" applyNumberFormat="1" applyFont="1" applyFill="1" applyBorder="1" applyAlignment="1" applyProtection="1"/>
    <xf numFmtId="4" fontId="27" fillId="11" borderId="47" xfId="0" applyNumberFormat="1" applyFont="1" applyFill="1" applyBorder="1" applyAlignment="1" applyProtection="1"/>
    <xf numFmtId="4" fontId="27" fillId="11" borderId="43" xfId="0" applyNumberFormat="1" applyFont="1" applyFill="1" applyBorder="1" applyAlignment="1" applyProtection="1"/>
    <xf numFmtId="4" fontId="27" fillId="8" borderId="55" xfId="0" applyNumberFormat="1" applyFont="1" applyFill="1" applyBorder="1" applyAlignment="1" applyProtection="1"/>
    <xf numFmtId="0" fontId="23" fillId="0" borderId="0" xfId="0" applyFont="1" applyFill="1" applyBorder="1" applyAlignment="1" applyProtection="1">
      <alignment horizontal="left" vertical="center" wrapText="1"/>
      <protection locked="0"/>
    </xf>
    <xf numFmtId="3" fontId="27" fillId="8" borderId="0" xfId="0" applyNumberFormat="1" applyFont="1" applyFill="1" applyBorder="1" applyAlignment="1" applyProtection="1">
      <protection locked="0"/>
    </xf>
    <xf numFmtId="0" fontId="27" fillId="8" borderId="0" xfId="0" applyFont="1" applyFill="1" applyBorder="1" applyAlignment="1" applyProtection="1">
      <protection locked="0"/>
    </xf>
    <xf numFmtId="3" fontId="27" fillId="8" borderId="0" xfId="0" applyNumberFormat="1" applyFont="1" applyFill="1" applyBorder="1" applyAlignment="1" applyProtection="1"/>
    <xf numFmtId="3" fontId="29" fillId="8" borderId="0" xfId="0" applyNumberFormat="1" applyFont="1" applyFill="1" applyBorder="1" applyAlignment="1" applyProtection="1"/>
    <xf numFmtId="0" fontId="44" fillId="8" borderId="0" xfId="0" applyFont="1" applyFill="1" applyBorder="1" applyAlignment="1" applyProtection="1">
      <protection locked="0"/>
    </xf>
    <xf numFmtId="0" fontId="23" fillId="8" borderId="0" xfId="0" applyFont="1" applyFill="1" applyAlignment="1" applyProtection="1">
      <protection locked="0"/>
    </xf>
    <xf numFmtId="0" fontId="41" fillId="8" borderId="0" xfId="0" applyFont="1" applyFill="1" applyAlignment="1" applyProtection="1"/>
    <xf numFmtId="0" fontId="41" fillId="8" borderId="0" xfId="0" applyFont="1" applyFill="1" applyBorder="1" applyAlignment="1" applyProtection="1"/>
    <xf numFmtId="0" fontId="44" fillId="8" borderId="0" xfId="0" applyFont="1" applyFill="1" applyAlignment="1" applyProtection="1">
      <protection locked="0"/>
    </xf>
    <xf numFmtId="3" fontId="23" fillId="8" borderId="0" xfId="0" applyNumberFormat="1" applyFont="1" applyFill="1" applyAlignment="1" applyProtection="1"/>
    <xf numFmtId="4" fontId="23" fillId="8" borderId="0" xfId="0" applyNumberFormat="1" applyFont="1" applyFill="1" applyAlignment="1" applyProtection="1"/>
    <xf numFmtId="3" fontId="44" fillId="8" borderId="0" xfId="0" applyNumberFormat="1" applyFont="1" applyFill="1" applyAlignment="1" applyProtection="1">
      <protection locked="0"/>
    </xf>
    <xf numFmtId="0" fontId="44" fillId="8" borderId="0" xfId="18" applyFont="1" applyFill="1" applyProtection="1"/>
    <xf numFmtId="4" fontId="44" fillId="8" borderId="0" xfId="0" applyNumberFormat="1" applyFont="1" applyFill="1" applyBorder="1" applyAlignment="1" applyProtection="1"/>
    <xf numFmtId="0" fontId="41" fillId="8" borderId="0" xfId="0" applyFont="1" applyFill="1" applyAlignment="1" applyProtection="1">
      <alignment horizontal="left"/>
    </xf>
    <xf numFmtId="0" fontId="39" fillId="8" borderId="0" xfId="0" applyFont="1" applyFill="1" applyAlignment="1" applyProtection="1"/>
    <xf numFmtId="3" fontId="39" fillId="8" borderId="0" xfId="0" applyNumberFormat="1" applyFont="1" applyFill="1" applyAlignment="1" applyProtection="1"/>
    <xf numFmtId="10" fontId="23" fillId="8" borderId="0" xfId="21" applyNumberFormat="1" applyFont="1" applyFill="1" applyAlignment="1" applyProtection="1"/>
    <xf numFmtId="0" fontId="44" fillId="8" borderId="0" xfId="0" quotePrefix="1" applyFont="1" applyFill="1" applyAlignment="1" applyProtection="1"/>
    <xf numFmtId="0" fontId="44" fillId="8" borderId="0" xfId="0" applyFont="1" applyFill="1" applyAlignment="1" applyProtection="1">
      <alignment horizontal="right"/>
    </xf>
    <xf numFmtId="0" fontId="44" fillId="8" borderId="0" xfId="0" quotePrefix="1" applyFont="1" applyFill="1" applyBorder="1" applyAlignment="1" applyProtection="1">
      <alignment horizontal="left"/>
    </xf>
    <xf numFmtId="0" fontId="50" fillId="8" borderId="0" xfId="0" applyFont="1" applyFill="1" applyAlignment="1" applyProtection="1"/>
    <xf numFmtId="0" fontId="24" fillId="8" borderId="0" xfId="0" applyFont="1" applyFill="1" applyAlignment="1" applyProtection="1">
      <alignment horizontal="left"/>
    </xf>
    <xf numFmtId="0" fontId="44" fillId="8" borderId="0" xfId="0" applyFont="1" applyFill="1" applyAlignment="1" applyProtection="1">
      <alignment horizontal="left"/>
    </xf>
    <xf numFmtId="0" fontId="44" fillId="8" borderId="0" xfId="0" quotePrefix="1" applyFont="1" applyFill="1" applyAlignment="1" applyProtection="1">
      <alignment horizontal="left"/>
    </xf>
    <xf numFmtId="165" fontId="23" fillId="0" borderId="0" xfId="21" applyNumberFormat="1" applyFont="1" applyFill="1" applyBorder="1" applyAlignment="1" applyProtection="1">
      <alignment horizontal="right"/>
    </xf>
    <xf numFmtId="0" fontId="38" fillId="0" borderId="0" xfId="0" applyFont="1" applyAlignment="1" applyProtection="1">
      <alignment horizontal="left" vertical="top"/>
    </xf>
    <xf numFmtId="2" fontId="23" fillId="0" borderId="0" xfId="0" applyNumberFormat="1" applyFont="1" applyAlignment="1" applyProtection="1">
      <alignment vertical="top" wrapText="1"/>
    </xf>
    <xf numFmtId="0" fontId="24" fillId="8" borderId="6" xfId="0" applyFont="1" applyFill="1" applyBorder="1" applyAlignment="1" applyProtection="1">
      <alignment vertical="top" wrapText="1"/>
    </xf>
    <xf numFmtId="0" fontId="23" fillId="0" borderId="6" xfId="19" applyNumberFormat="1" applyFont="1" applyBorder="1" applyAlignment="1" applyProtection="1">
      <alignment horizontal="right"/>
    </xf>
    <xf numFmtId="0" fontId="23" fillId="0" borderId="6" xfId="19" applyNumberFormat="1" applyFont="1" applyFill="1" applyBorder="1" applyAlignment="1" applyProtection="1">
      <alignment horizontal="right"/>
    </xf>
    <xf numFmtId="0" fontId="23" fillId="3" borderId="6" xfId="2" applyNumberFormat="1" applyFont="1" applyBorder="1" applyAlignment="1" applyProtection="1">
      <alignment horizontal="right"/>
    </xf>
    <xf numFmtId="165" fontId="54" fillId="0" borderId="0" xfId="0" applyNumberFormat="1" applyFont="1" applyFill="1" applyBorder="1" applyAlignment="1" applyProtection="1">
      <alignment vertical="top" wrapText="1"/>
    </xf>
    <xf numFmtId="0" fontId="55" fillId="0" borderId="0" xfId="0" applyFont="1" applyFill="1" applyBorder="1" applyAlignment="1" applyProtection="1"/>
    <xf numFmtId="0" fontId="23" fillId="0" borderId="0" xfId="0" applyFont="1" applyFill="1" applyBorder="1" applyAlignment="1" applyProtection="1"/>
    <xf numFmtId="3" fontId="24" fillId="0" borderId="0" xfId="0" applyNumberFormat="1" applyFont="1" applyFill="1" applyBorder="1" applyAlignment="1" applyProtection="1">
      <alignment horizontal="center"/>
    </xf>
    <xf numFmtId="0" fontId="24" fillId="0" borderId="0" xfId="0" applyFont="1" applyFill="1" applyBorder="1" applyAlignment="1" applyProtection="1">
      <alignment wrapText="1"/>
    </xf>
    <xf numFmtId="3" fontId="23" fillId="0" borderId="0" xfId="0" applyNumberFormat="1" applyFont="1" applyFill="1" applyBorder="1" applyAlignment="1" applyProtection="1">
      <alignment horizontal="center"/>
    </xf>
    <xf numFmtId="0" fontId="27" fillId="0" borderId="0" xfId="0" applyFont="1" applyFill="1" applyBorder="1" applyAlignment="1" applyProtection="1">
      <alignment vertical="top" wrapText="1"/>
    </xf>
    <xf numFmtId="0" fontId="29" fillId="0" borderId="0" xfId="0" applyFont="1" applyFill="1" applyBorder="1" applyAlignment="1" applyProtection="1">
      <alignment vertical="top" wrapText="1"/>
    </xf>
    <xf numFmtId="165" fontId="23" fillId="0" borderId="0" xfId="0" applyNumberFormat="1" applyFont="1" applyFill="1" applyBorder="1" applyAlignment="1" applyProtection="1">
      <alignment vertical="top" wrapText="1"/>
    </xf>
    <xf numFmtId="167" fontId="24" fillId="0" borderId="0" xfId="0" applyNumberFormat="1" applyFont="1" applyFill="1" applyBorder="1" applyAlignment="1" applyProtection="1">
      <alignment horizontal="center"/>
    </xf>
    <xf numFmtId="3" fontId="22" fillId="0" borderId="0" xfId="7" applyNumberFormat="1" applyFont="1" applyFill="1" applyBorder="1" applyAlignment="1" applyProtection="1">
      <alignment vertical="top" wrapText="1"/>
    </xf>
    <xf numFmtId="3" fontId="55" fillId="0" borderId="0" xfId="6" applyNumberFormat="1" applyFont="1" applyFill="1" applyBorder="1" applyAlignment="1" applyProtection="1">
      <alignment vertical="top"/>
    </xf>
    <xf numFmtId="0" fontId="55" fillId="0" borderId="0" xfId="0" applyFont="1" applyFill="1" applyBorder="1" applyAlignment="1" applyProtection="1">
      <alignment horizontal="left"/>
    </xf>
    <xf numFmtId="0" fontId="23" fillId="0" borderId="0" xfId="0" applyFont="1" applyFill="1" applyBorder="1" applyAlignment="1" applyProtection="1">
      <alignment horizontal="left"/>
    </xf>
    <xf numFmtId="0" fontId="24" fillId="0" borderId="0" xfId="0" applyFont="1" applyFill="1" applyBorder="1" applyAlignment="1" applyProtection="1">
      <alignment vertical="top"/>
    </xf>
    <xf numFmtId="0" fontId="23" fillId="0" borderId="0" xfId="0" applyFont="1" applyFill="1" applyBorder="1" applyAlignment="1" applyProtection="1">
      <alignment wrapText="1"/>
    </xf>
    <xf numFmtId="3" fontId="24" fillId="0" borderId="0" xfId="0" applyNumberFormat="1" applyFont="1" applyFill="1" applyBorder="1" applyAlignment="1" applyProtection="1">
      <alignment horizontal="right"/>
    </xf>
    <xf numFmtId="10" fontId="23" fillId="0" borderId="0" xfId="2" applyNumberFormat="1" applyFont="1" applyFill="1" applyBorder="1" applyAlignment="1" applyProtection="1">
      <alignment horizontal="center"/>
    </xf>
    <xf numFmtId="0" fontId="42" fillId="0" borderId="0" xfId="0" applyFont="1" applyFill="1" applyBorder="1" applyAlignment="1" applyProtection="1">
      <alignment vertical="top" wrapText="1"/>
    </xf>
    <xf numFmtId="166" fontId="24" fillId="0" borderId="0" xfId="0" applyNumberFormat="1" applyFont="1" applyFill="1" applyBorder="1" applyAlignment="1" applyProtection="1">
      <alignment horizontal="center"/>
    </xf>
    <xf numFmtId="9" fontId="24" fillId="0" borderId="0" xfId="0" applyNumberFormat="1" applyFont="1" applyFill="1" applyBorder="1" applyAlignment="1" applyProtection="1">
      <alignment horizontal="center"/>
    </xf>
    <xf numFmtId="0" fontId="23" fillId="0" borderId="0" xfId="0" applyFont="1" applyFill="1" applyBorder="1" applyAlignment="1" applyProtection="1">
      <alignment horizontal="left" vertical="center" wrapText="1"/>
    </xf>
    <xf numFmtId="4" fontId="23" fillId="0" borderId="0" xfId="0" applyNumberFormat="1"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wrapText="1"/>
    </xf>
    <xf numFmtId="3" fontId="23" fillId="0" borderId="0" xfId="0" applyNumberFormat="1" applyFont="1" applyFill="1" applyBorder="1" applyAlignment="1" applyProtection="1">
      <alignment horizontal="center" vertical="center"/>
    </xf>
    <xf numFmtId="1" fontId="23" fillId="0" borderId="0" xfId="0" applyNumberFormat="1" applyFont="1" applyFill="1" applyBorder="1" applyAlignment="1" applyProtection="1">
      <alignment vertical="top" wrapText="1"/>
    </xf>
    <xf numFmtId="0" fontId="54" fillId="0" borderId="0" xfId="0" applyFont="1" applyFill="1" applyBorder="1" applyAlignment="1" applyProtection="1">
      <alignment vertical="top" wrapText="1"/>
    </xf>
    <xf numFmtId="3" fontId="54" fillId="0" borderId="0" xfId="0" applyNumberFormat="1" applyFont="1" applyFill="1" applyBorder="1" applyAlignment="1" applyProtection="1">
      <alignment vertical="top" wrapText="1"/>
    </xf>
    <xf numFmtId="4" fontId="54" fillId="0" borderId="0" xfId="0" applyNumberFormat="1" applyFont="1" applyFill="1" applyBorder="1" applyAlignment="1" applyProtection="1">
      <alignment vertical="top" wrapText="1"/>
    </xf>
    <xf numFmtId="4" fontId="23" fillId="0" borderId="0" xfId="0" applyNumberFormat="1" applyFont="1" applyFill="1" applyBorder="1" applyAlignment="1" applyProtection="1">
      <alignment vertical="top" wrapText="1"/>
    </xf>
    <xf numFmtId="10" fontId="23" fillId="0" borderId="0" xfId="21" applyNumberFormat="1" applyFont="1" applyFill="1" applyBorder="1" applyAlignment="1" applyProtection="1">
      <alignment vertical="top" wrapText="1"/>
    </xf>
    <xf numFmtId="10" fontId="23" fillId="0" borderId="0" xfId="0" applyNumberFormat="1" applyFont="1" applyFill="1" applyBorder="1" applyAlignment="1" applyProtection="1">
      <alignment vertical="top" wrapText="1"/>
    </xf>
    <xf numFmtId="0" fontId="30" fillId="0" borderId="0" xfId="0" applyFont="1" applyFill="1" applyBorder="1" applyAlignment="1" applyProtection="1">
      <alignment vertical="top" wrapText="1"/>
    </xf>
    <xf numFmtId="2" fontId="23" fillId="0" borderId="0" xfId="0" applyNumberFormat="1" applyFont="1" applyFill="1" applyBorder="1" applyAlignment="1" applyProtection="1">
      <alignment vertical="top" wrapText="1"/>
    </xf>
    <xf numFmtId="0" fontId="23" fillId="0" borderId="0" xfId="0" quotePrefix="1" applyFont="1" applyFill="1" applyBorder="1" applyAlignment="1" applyProtection="1">
      <alignment vertical="top" wrapText="1"/>
    </xf>
    <xf numFmtId="170" fontId="23" fillId="0" borderId="0" xfId="4" applyNumberFormat="1" applyFont="1" applyFill="1" applyBorder="1" applyAlignment="1" applyProtection="1">
      <alignment vertical="top" wrapText="1"/>
    </xf>
    <xf numFmtId="0" fontId="23" fillId="0" borderId="0" xfId="0" applyFont="1" applyFill="1" applyBorder="1" applyAlignment="1">
      <alignment vertical="top" wrapText="1"/>
    </xf>
    <xf numFmtId="0" fontId="33" fillId="0" borderId="0" xfId="0" applyFont="1" applyFill="1" applyBorder="1" applyAlignment="1">
      <alignment vertical="top" wrapText="1"/>
    </xf>
    <xf numFmtId="0" fontId="22" fillId="0" borderId="0" xfId="0" applyFont="1" applyFill="1" applyBorder="1" applyAlignment="1">
      <alignment vertical="top" wrapText="1"/>
    </xf>
    <xf numFmtId="4" fontId="33" fillId="0" borderId="0" xfId="0" applyNumberFormat="1" applyFont="1" applyFill="1" applyBorder="1" applyAlignment="1">
      <alignment vertical="top" wrapText="1"/>
    </xf>
    <xf numFmtId="0" fontId="24" fillId="0" borderId="0" xfId="0" applyFont="1" applyFill="1" applyBorder="1" applyAlignment="1">
      <alignment vertical="top" wrapText="1"/>
    </xf>
    <xf numFmtId="3" fontId="23" fillId="9" borderId="9" xfId="0" applyNumberFormat="1" applyFont="1" applyFill="1" applyBorder="1" applyAlignment="1" applyProtection="1">
      <alignment horizontal="right"/>
      <protection locked="0"/>
    </xf>
    <xf numFmtId="3" fontId="23" fillId="12" borderId="6" xfId="0" applyNumberFormat="1" applyFont="1" applyFill="1" applyBorder="1" applyAlignment="1" applyProtection="1">
      <alignment horizontal="right"/>
      <protection locked="0"/>
    </xf>
    <xf numFmtId="3" fontId="23" fillId="3" borderId="6" xfId="2" applyNumberFormat="1" applyFont="1" applyFill="1" applyBorder="1" applyAlignment="1" applyProtection="1">
      <alignment horizontal="right"/>
    </xf>
    <xf numFmtId="3" fontId="30" fillId="9" borderId="6" xfId="0" applyNumberFormat="1" applyFont="1" applyFill="1" applyBorder="1" applyAlignment="1" applyProtection="1">
      <protection locked="0"/>
    </xf>
    <xf numFmtId="3" fontId="23" fillId="9" borderId="6" xfId="0" applyNumberFormat="1" applyFont="1" applyFill="1" applyBorder="1" applyAlignment="1" applyProtection="1">
      <alignment horizontal="right"/>
      <protection locked="0"/>
    </xf>
    <xf numFmtId="3" fontId="23" fillId="9" borderId="6" xfId="0" applyNumberFormat="1" applyFont="1" applyFill="1" applyBorder="1" applyAlignment="1" applyProtection="1">
      <alignment vertical="top" wrapText="1"/>
      <protection locked="0"/>
    </xf>
    <xf numFmtId="3" fontId="30" fillId="9" borderId="6" xfId="0" applyNumberFormat="1" applyFont="1" applyFill="1" applyBorder="1" applyAlignment="1" applyProtection="1">
      <alignment horizontal="right"/>
      <protection locked="0"/>
    </xf>
    <xf numFmtId="3" fontId="23" fillId="10" borderId="9" xfId="0" applyNumberFormat="1" applyFont="1" applyFill="1" applyBorder="1" applyAlignment="1" applyProtection="1">
      <alignment horizontal="right"/>
      <protection locked="0"/>
    </xf>
    <xf numFmtId="3" fontId="23" fillId="13" borderId="6" xfId="0" applyNumberFormat="1" applyFont="1" applyFill="1" applyBorder="1" applyAlignment="1" applyProtection="1">
      <alignment horizontal="right"/>
      <protection locked="0"/>
    </xf>
    <xf numFmtId="3" fontId="23" fillId="14" borderId="6" xfId="2" applyNumberFormat="1" applyFont="1" applyFill="1" applyBorder="1" applyAlignment="1" applyProtection="1">
      <alignment horizontal="right"/>
    </xf>
    <xf numFmtId="0" fontId="23" fillId="15" borderId="6" xfId="0" applyFont="1" applyFill="1" applyBorder="1" applyAlignment="1" applyProtection="1">
      <alignment horizontal="center"/>
      <protection locked="0"/>
    </xf>
    <xf numFmtId="0" fontId="42" fillId="15" borderId="6" xfId="0" applyFont="1" applyFill="1" applyBorder="1" applyAlignment="1" applyProtection="1">
      <alignment horizontal="center"/>
      <protection locked="0"/>
    </xf>
    <xf numFmtId="3" fontId="23" fillId="15" borderId="6" xfId="0" applyNumberFormat="1" applyFont="1" applyFill="1" applyBorder="1" applyAlignment="1" applyProtection="1">
      <alignment horizontal="center"/>
      <protection locked="0"/>
    </xf>
    <xf numFmtId="0" fontId="23" fillId="15" borderId="0" xfId="0" applyFont="1" applyFill="1" applyBorder="1" applyAlignment="1" applyProtection="1">
      <protection locked="0"/>
    </xf>
    <xf numFmtId="0" fontId="23" fillId="15" borderId="12" xfId="0" applyFont="1" applyFill="1" applyBorder="1" applyAlignment="1" applyProtection="1">
      <alignment horizontal="center"/>
      <protection locked="0"/>
    </xf>
    <xf numFmtId="4" fontId="23" fillId="15" borderId="6" xfId="0" applyNumberFormat="1" applyFont="1" applyFill="1" applyBorder="1" applyAlignment="1" applyProtection="1">
      <alignment horizontal="right" vertical="center"/>
      <protection locked="0"/>
    </xf>
    <xf numFmtId="4" fontId="23" fillId="15" borderId="12" xfId="0" applyNumberFormat="1" applyFont="1" applyFill="1" applyBorder="1" applyAlignment="1" applyProtection="1">
      <alignment horizontal="right" vertical="center"/>
      <protection locked="0"/>
    </xf>
    <xf numFmtId="4" fontId="42" fillId="15" borderId="6" xfId="0" applyNumberFormat="1" applyFont="1" applyFill="1" applyBorder="1" applyAlignment="1" applyProtection="1">
      <alignment horizontal="right" vertical="center"/>
      <protection locked="0"/>
    </xf>
    <xf numFmtId="4" fontId="47" fillId="15" borderId="6" xfId="0" applyNumberFormat="1" applyFont="1" applyFill="1" applyBorder="1" applyAlignment="1" applyProtection="1">
      <alignment horizontal="right" vertical="center"/>
      <protection locked="0"/>
    </xf>
    <xf numFmtId="4" fontId="46" fillId="15" borderId="6" xfId="0" applyNumberFormat="1" applyFont="1" applyFill="1" applyBorder="1" applyAlignment="1" applyProtection="1">
      <alignment horizontal="right" vertical="center"/>
      <protection locked="0"/>
    </xf>
    <xf numFmtId="0" fontId="23" fillId="15" borderId="0" xfId="0" applyFont="1" applyFill="1" applyBorder="1" applyAlignment="1" applyProtection="1">
      <alignment horizontal="right" vertical="center"/>
      <protection locked="0"/>
    </xf>
    <xf numFmtId="4" fontId="23" fillId="15" borderId="19" xfId="0" applyNumberFormat="1" applyFont="1" applyFill="1" applyBorder="1" applyAlignment="1" applyProtection="1">
      <protection locked="0"/>
    </xf>
    <xf numFmtId="0" fontId="23" fillId="15" borderId="6" xfId="0" applyFont="1" applyFill="1" applyBorder="1" applyAlignment="1" applyProtection="1">
      <protection locked="0"/>
    </xf>
    <xf numFmtId="4" fontId="23" fillId="15" borderId="16" xfId="0" applyNumberFormat="1" applyFont="1" applyFill="1" applyBorder="1" applyAlignment="1" applyProtection="1">
      <protection locked="0"/>
    </xf>
    <xf numFmtId="0" fontId="23" fillId="15" borderId="19" xfId="0" applyFont="1" applyFill="1" applyBorder="1" applyAlignment="1" applyProtection="1">
      <protection locked="0"/>
    </xf>
    <xf numFmtId="4" fontId="29" fillId="15" borderId="7" xfId="0" applyNumberFormat="1" applyFont="1" applyFill="1" applyBorder="1" applyAlignment="1" applyProtection="1">
      <protection locked="0"/>
    </xf>
    <xf numFmtId="4" fontId="29" fillId="15" borderId="36" xfId="0" applyNumberFormat="1" applyFont="1" applyFill="1" applyBorder="1" applyAlignment="1" applyProtection="1">
      <protection locked="0"/>
    </xf>
    <xf numFmtId="3" fontId="23" fillId="8" borderId="33" xfId="0" applyNumberFormat="1" applyFont="1" applyFill="1" applyBorder="1" applyAlignment="1" applyProtection="1"/>
    <xf numFmtId="3" fontId="23" fillId="8" borderId="20" xfId="0" applyNumberFormat="1" applyFont="1" applyFill="1" applyBorder="1" applyAlignment="1" applyProtection="1"/>
    <xf numFmtId="4" fontId="23" fillId="0" borderId="19" xfId="0" applyNumberFormat="1" applyFont="1" applyBorder="1" applyAlignment="1" applyProtection="1"/>
    <xf numFmtId="4" fontId="23" fillId="8" borderId="19" xfId="0" applyNumberFormat="1" applyFont="1" applyFill="1" applyBorder="1" applyAlignment="1" applyProtection="1">
      <alignment horizontal="right" vertical="center"/>
    </xf>
    <xf numFmtId="4" fontId="23" fillId="0" borderId="56" xfId="0" applyNumberFormat="1" applyFont="1" applyBorder="1" applyAlignment="1" applyProtection="1"/>
    <xf numFmtId="4" fontId="24" fillId="11" borderId="57" xfId="0" applyNumberFormat="1" applyFont="1" applyFill="1" applyBorder="1" applyAlignment="1" applyProtection="1"/>
    <xf numFmtId="4" fontId="23" fillId="8" borderId="20" xfId="0" applyNumberFormat="1" applyFont="1" applyFill="1" applyBorder="1" applyAlignment="1" applyProtection="1"/>
    <xf numFmtId="4" fontId="27" fillId="9" borderId="44" xfId="0" applyNumberFormat="1" applyFont="1" applyFill="1" applyBorder="1" applyAlignment="1" applyProtection="1"/>
    <xf numFmtId="4" fontId="23" fillId="8" borderId="58" xfId="0" applyNumberFormat="1" applyFont="1" applyFill="1" applyBorder="1" applyAlignment="1" applyProtection="1"/>
    <xf numFmtId="4" fontId="29" fillId="8" borderId="20" xfId="0" applyNumberFormat="1" applyFont="1" applyFill="1" applyBorder="1" applyAlignment="1" applyProtection="1"/>
    <xf numFmtId="4" fontId="23" fillId="8" borderId="25" xfId="0" applyNumberFormat="1" applyFont="1" applyFill="1" applyBorder="1" applyAlignment="1" applyProtection="1"/>
    <xf numFmtId="4" fontId="27" fillId="11" borderId="44" xfId="0" applyNumberFormat="1" applyFont="1" applyFill="1" applyBorder="1" applyAlignment="1" applyProtection="1"/>
    <xf numFmtId="0" fontId="23" fillId="8" borderId="32" xfId="0" applyFont="1" applyFill="1" applyBorder="1" applyAlignment="1" applyProtection="1"/>
    <xf numFmtId="0" fontId="23" fillId="8" borderId="37" xfId="0" applyFont="1" applyFill="1" applyBorder="1" applyAlignment="1" applyProtection="1"/>
    <xf numFmtId="10" fontId="23" fillId="8" borderId="21" xfId="21" applyNumberFormat="1" applyFont="1" applyFill="1" applyBorder="1" applyAlignment="1" applyProtection="1">
      <alignment horizontal="right" vertical="center"/>
    </xf>
    <xf numFmtId="10" fontId="24" fillId="11" borderId="43" xfId="21" applyNumberFormat="1" applyFont="1" applyFill="1" applyBorder="1" applyProtection="1"/>
    <xf numFmtId="10" fontId="23" fillId="8" borderId="21" xfId="21" applyNumberFormat="1" applyFont="1" applyFill="1" applyBorder="1" applyAlignment="1" applyProtection="1"/>
    <xf numFmtId="10" fontId="29" fillId="9" borderId="43" xfId="0" applyNumberFormat="1" applyFont="1" applyFill="1" applyBorder="1" applyAlignment="1" applyProtection="1"/>
    <xf numFmtId="10" fontId="23" fillId="8" borderId="21" xfId="0" applyNumberFormat="1" applyFont="1" applyFill="1" applyBorder="1" applyAlignment="1" applyProtection="1"/>
    <xf numFmtId="10" fontId="23" fillId="8" borderId="59" xfId="0" applyNumberFormat="1" applyFont="1" applyFill="1" applyBorder="1" applyAlignment="1" applyProtection="1"/>
    <xf numFmtId="10" fontId="49" fillId="8" borderId="37" xfId="0" applyNumberFormat="1" applyFont="1" applyFill="1" applyBorder="1" applyAlignment="1" applyProtection="1"/>
    <xf numFmtId="10" fontId="29" fillId="8" borderId="37" xfId="0" applyNumberFormat="1" applyFont="1" applyFill="1" applyBorder="1" applyAlignment="1" applyProtection="1"/>
    <xf numFmtId="10" fontId="23" fillId="8" borderId="60" xfId="0" applyNumberFormat="1" applyFont="1" applyFill="1" applyBorder="1" applyAlignment="1" applyProtection="1"/>
    <xf numFmtId="10" fontId="27" fillId="11" borderId="43" xfId="0" applyNumberFormat="1" applyFont="1" applyFill="1" applyBorder="1" applyAlignment="1" applyProtection="1"/>
    <xf numFmtId="0" fontId="24" fillId="9" borderId="61" xfId="0" applyFont="1" applyFill="1" applyBorder="1" applyAlignment="1" applyProtection="1">
      <alignment wrapText="1"/>
    </xf>
    <xf numFmtId="0" fontId="23" fillId="8" borderId="61" xfId="0" applyFont="1" applyFill="1" applyBorder="1" applyAlignment="1" applyProtection="1"/>
    <xf numFmtId="0" fontId="24" fillId="8" borderId="61" xfId="0" applyFont="1" applyFill="1" applyBorder="1" applyAlignment="1" applyProtection="1"/>
    <xf numFmtId="0" fontId="23" fillId="8" borderId="61" xfId="0" applyFont="1" applyFill="1" applyBorder="1" applyAlignment="1" applyProtection="1">
      <alignment horizontal="left" vertical="center"/>
    </xf>
    <xf numFmtId="0" fontId="24" fillId="11" borderId="61" xfId="0" applyFont="1" applyFill="1" applyBorder="1" applyAlignment="1" applyProtection="1">
      <alignment wrapText="1"/>
    </xf>
    <xf numFmtId="176" fontId="23" fillId="8" borderId="61" xfId="0" applyNumberFormat="1" applyFont="1" applyFill="1" applyBorder="1" applyAlignment="1" applyProtection="1">
      <alignment vertical="center" wrapText="1"/>
    </xf>
    <xf numFmtId="0" fontId="24" fillId="9" borderId="61" xfId="0" applyFont="1" applyFill="1" applyBorder="1" applyAlignment="1" applyProtection="1">
      <alignment vertical="center" wrapText="1"/>
    </xf>
    <xf numFmtId="0" fontId="23" fillId="0" borderId="61" xfId="0" applyFont="1" applyBorder="1" applyAlignment="1" applyProtection="1">
      <alignment vertical="center" wrapText="1"/>
    </xf>
    <xf numFmtId="0" fontId="48" fillId="8" borderId="61" xfId="0" applyFont="1" applyFill="1" applyBorder="1" applyAlignment="1" applyProtection="1">
      <alignment wrapText="1"/>
    </xf>
    <xf numFmtId="0" fontId="23" fillId="8" borderId="61" xfId="0" applyFont="1" applyFill="1" applyBorder="1" applyAlignment="1" applyProtection="1">
      <alignment horizontal="left" wrapText="1"/>
    </xf>
    <xf numFmtId="0" fontId="27" fillId="11" borderId="62" xfId="0" applyFont="1" applyFill="1" applyBorder="1" applyAlignment="1" applyProtection="1">
      <alignment horizontal="left" wrapText="1"/>
    </xf>
    <xf numFmtId="3" fontId="23" fillId="8" borderId="21" xfId="0" applyNumberFormat="1" applyFont="1" applyFill="1" applyBorder="1" applyAlignment="1" applyProtection="1"/>
    <xf numFmtId="4" fontId="23" fillId="9" borderId="21" xfId="0" applyNumberFormat="1" applyFont="1" applyFill="1" applyBorder="1" applyAlignment="1" applyProtection="1"/>
    <xf numFmtId="4" fontId="24" fillId="11" borderId="21" xfId="0" applyNumberFormat="1" applyFont="1" applyFill="1" applyBorder="1" applyAlignment="1" applyProtection="1"/>
    <xf numFmtId="4" fontId="27" fillId="9" borderId="21" xfId="0" applyNumberFormat="1" applyFont="1" applyFill="1" applyBorder="1" applyAlignment="1" applyProtection="1"/>
    <xf numFmtId="4" fontId="29" fillId="9" borderId="21" xfId="0" applyNumberFormat="1" applyFont="1" applyFill="1" applyBorder="1" applyAlignment="1" applyProtection="1"/>
    <xf numFmtId="4" fontId="27" fillId="11" borderId="60" xfId="0" applyNumberFormat="1" applyFont="1" applyFill="1" applyBorder="1" applyAlignment="1" applyProtection="1"/>
    <xf numFmtId="0" fontId="23" fillId="15" borderId="19" xfId="0" applyFont="1" applyFill="1" applyBorder="1" applyAlignment="1" applyProtection="1">
      <alignment horizontal="center"/>
      <protection locked="0"/>
    </xf>
    <xf numFmtId="4" fontId="42" fillId="15" borderId="0" xfId="0" applyNumberFormat="1" applyFont="1" applyFill="1" applyBorder="1" applyAlignment="1" applyProtection="1">
      <alignment horizontal="right" vertical="center"/>
      <protection locked="0"/>
    </xf>
    <xf numFmtId="4" fontId="23" fillId="15" borderId="18" xfId="0" applyNumberFormat="1" applyFont="1" applyFill="1" applyBorder="1" applyAlignment="1" applyProtection="1">
      <protection locked="0"/>
    </xf>
    <xf numFmtId="4" fontId="23" fillId="15" borderId="63" xfId="0" applyNumberFormat="1" applyFont="1" applyFill="1" applyBorder="1" applyAlignment="1" applyProtection="1">
      <protection locked="0"/>
    </xf>
    <xf numFmtId="4" fontId="29" fillId="15" borderId="20" xfId="0" applyNumberFormat="1" applyFont="1" applyFill="1" applyBorder="1" applyAlignment="1" applyProtection="1">
      <protection locked="0"/>
    </xf>
    <xf numFmtId="4" fontId="29" fillId="15" borderId="14" xfId="0" applyNumberFormat="1" applyFont="1" applyFill="1" applyBorder="1" applyAlignment="1" applyProtection="1">
      <protection locked="0"/>
    </xf>
    <xf numFmtId="4" fontId="23" fillId="15" borderId="19" xfId="0" applyNumberFormat="1" applyFont="1" applyFill="1" applyBorder="1" applyAlignment="1" applyProtection="1">
      <alignment horizontal="right" vertical="center"/>
      <protection locked="0"/>
    </xf>
    <xf numFmtId="4" fontId="23" fillId="15" borderId="64" xfId="0" applyNumberFormat="1" applyFont="1" applyFill="1" applyBorder="1" applyAlignment="1" applyProtection="1">
      <protection locked="0"/>
    </xf>
    <xf numFmtId="4" fontId="23" fillId="15" borderId="0" xfId="0" applyNumberFormat="1" applyFont="1" applyFill="1" applyBorder="1" applyAlignment="1" applyProtection="1">
      <alignment horizontal="right" vertical="center"/>
      <protection locked="0"/>
    </xf>
    <xf numFmtId="4" fontId="23" fillId="15" borderId="58" xfId="0" applyNumberFormat="1" applyFont="1" applyFill="1" applyBorder="1" applyAlignment="1" applyProtection="1">
      <protection locked="0"/>
    </xf>
    <xf numFmtId="171" fontId="23" fillId="9" borderId="21" xfId="0" applyNumberFormat="1" applyFont="1" applyFill="1" applyBorder="1" applyAlignment="1" applyProtection="1"/>
    <xf numFmtId="171" fontId="23" fillId="9" borderId="59" xfId="0" applyNumberFormat="1" applyFont="1" applyFill="1" applyBorder="1" applyAlignment="1" applyProtection="1"/>
    <xf numFmtId="4" fontId="23" fillId="15" borderId="7" xfId="0" applyNumberFormat="1" applyFont="1" applyFill="1" applyBorder="1" applyAlignment="1" applyProtection="1">
      <protection locked="0"/>
    </xf>
    <xf numFmtId="4" fontId="27" fillId="11" borderId="42" xfId="0" applyNumberFormat="1" applyFont="1" applyFill="1" applyBorder="1" applyAlignment="1" applyProtection="1"/>
    <xf numFmtId="4" fontId="29" fillId="15" borderId="65" xfId="0" applyNumberFormat="1" applyFont="1" applyFill="1" applyBorder="1" applyAlignment="1" applyProtection="1">
      <protection locked="0"/>
    </xf>
    <xf numFmtId="4" fontId="29" fillId="15" borderId="66" xfId="0" applyNumberFormat="1" applyFont="1" applyFill="1" applyBorder="1" applyAlignment="1" applyProtection="1">
      <protection locked="0"/>
    </xf>
    <xf numFmtId="4" fontId="27" fillId="11" borderId="67" xfId="0" applyNumberFormat="1" applyFont="1" applyFill="1" applyBorder="1" applyAlignment="1" applyProtection="1"/>
    <xf numFmtId="4" fontId="27" fillId="11" borderId="41" xfId="0" applyNumberFormat="1" applyFont="1" applyFill="1" applyBorder="1" applyAlignment="1" applyProtection="1"/>
    <xf numFmtId="4" fontId="27" fillId="11" borderId="52" xfId="0" applyNumberFormat="1" applyFont="1" applyFill="1" applyBorder="1" applyAlignment="1" applyProtection="1"/>
    <xf numFmtId="0" fontId="53" fillId="0" borderId="0" xfId="0" applyFont="1" applyAlignment="1" applyProtection="1">
      <alignment horizontal="left" vertical="top"/>
    </xf>
    <xf numFmtId="0" fontId="23" fillId="0" borderId="0" xfId="0" applyFont="1" applyBorder="1" applyAlignment="1" applyProtection="1"/>
    <xf numFmtId="0" fontId="38" fillId="0" borderId="0" xfId="19" applyFont="1" applyBorder="1" applyProtection="1">
      <alignment vertical="top"/>
    </xf>
    <xf numFmtId="9" fontId="23" fillId="0" borderId="0" xfId="0" applyNumberFormat="1" applyFont="1" applyFill="1" applyBorder="1" applyAlignment="1" applyProtection="1">
      <alignment vertical="top" wrapText="1"/>
    </xf>
    <xf numFmtId="9" fontId="23" fillId="0" borderId="0" xfId="0" applyNumberFormat="1" applyFont="1" applyFill="1" applyBorder="1" applyAlignment="1" applyProtection="1">
      <alignment vertical="top" wrapText="1"/>
      <protection locked="0"/>
    </xf>
    <xf numFmtId="0" fontId="31" fillId="0" borderId="8" xfId="0" applyFont="1" applyFill="1" applyBorder="1" applyAlignment="1" applyProtection="1">
      <alignment horizontal="left"/>
    </xf>
    <xf numFmtId="0" fontId="23" fillId="0" borderId="14" xfId="0" applyFont="1" applyFill="1" applyBorder="1" applyAlignment="1" applyProtection="1"/>
    <xf numFmtId="0" fontId="29" fillId="0" borderId="8" xfId="0" applyFont="1" applyBorder="1" applyAlignment="1" applyProtection="1"/>
    <xf numFmtId="0" fontId="33" fillId="0" borderId="0" xfId="0" applyFont="1" applyBorder="1" applyAlignment="1" applyProtection="1">
      <alignment vertical="top" wrapText="1"/>
    </xf>
    <xf numFmtId="10" fontId="23" fillId="0" borderId="6" xfId="21" applyNumberFormat="1" applyFont="1" applyBorder="1" applyAlignment="1" applyProtection="1">
      <alignment horizontal="right"/>
    </xf>
    <xf numFmtId="4" fontId="27" fillId="11" borderId="68" xfId="0" applyNumberFormat="1" applyFont="1" applyFill="1" applyBorder="1" applyAlignment="1" applyProtection="1"/>
    <xf numFmtId="4" fontId="29" fillId="15" borderId="64" xfId="0" applyNumberFormat="1" applyFont="1" applyFill="1" applyBorder="1" applyAlignment="1" applyProtection="1">
      <protection locked="0"/>
    </xf>
    <xf numFmtId="4" fontId="29" fillId="15" borderId="0" xfId="0" applyNumberFormat="1" applyFont="1" applyFill="1" applyBorder="1" applyAlignment="1" applyProtection="1">
      <protection locked="0"/>
    </xf>
    <xf numFmtId="4" fontId="23" fillId="0" borderId="69" xfId="0" applyNumberFormat="1" applyFont="1" applyFill="1" applyBorder="1" applyAlignment="1" applyProtection="1"/>
    <xf numFmtId="4" fontId="27" fillId="11" borderId="53" xfId="0" applyNumberFormat="1" applyFont="1" applyFill="1" applyBorder="1" applyAlignment="1" applyProtection="1"/>
    <xf numFmtId="4" fontId="27" fillId="11" borderId="70" xfId="0" applyNumberFormat="1" applyFont="1" applyFill="1" applyBorder="1" applyAlignment="1" applyProtection="1"/>
    <xf numFmtId="4" fontId="24" fillId="0" borderId="0" xfId="0" applyNumberFormat="1" applyFont="1" applyFill="1" applyBorder="1" applyAlignment="1" applyProtection="1">
      <alignment horizontal="right"/>
    </xf>
    <xf numFmtId="3" fontId="23" fillId="0" borderId="0" xfId="0" applyNumberFormat="1" applyFont="1" applyBorder="1" applyAlignment="1" applyProtection="1">
      <alignment horizontal="left" vertical="top" wrapText="1"/>
    </xf>
    <xf numFmtId="0" fontId="30" fillId="0" borderId="0" xfId="0" applyFont="1" applyFill="1" applyBorder="1" applyAlignment="1" applyProtection="1">
      <alignment horizontal="left" vertical="top" wrapText="1"/>
    </xf>
    <xf numFmtId="10" fontId="23" fillId="0" borderId="0" xfId="21" applyNumberFormat="1" applyFont="1" applyFill="1" applyBorder="1" applyAlignment="1" applyProtection="1">
      <alignment horizontal="center"/>
    </xf>
    <xf numFmtId="9" fontId="23" fillId="0" borderId="0" xfId="21" applyFont="1" applyFill="1" applyBorder="1" applyAlignment="1" applyProtection="1">
      <alignment horizontal="right"/>
      <protection locked="0"/>
    </xf>
    <xf numFmtId="166" fontId="23" fillId="0" borderId="0" xfId="0" applyNumberFormat="1" applyFont="1" applyFill="1" applyBorder="1" applyAlignment="1" applyProtection="1">
      <alignment horizontal="center"/>
    </xf>
    <xf numFmtId="4" fontId="23" fillId="0" borderId="0" xfId="0" applyNumberFormat="1" applyFont="1" applyAlignment="1" applyProtection="1">
      <alignment vertical="top" wrapText="1"/>
    </xf>
    <xf numFmtId="3" fontId="24" fillId="0" borderId="0" xfId="0" applyNumberFormat="1" applyFont="1" applyAlignment="1" applyProtection="1">
      <alignment horizontal="left" vertical="top" wrapText="1"/>
    </xf>
    <xf numFmtId="0" fontId="22" fillId="0" borderId="0" xfId="0" applyFont="1" applyAlignment="1" applyProtection="1">
      <alignment horizontal="left" vertical="top" wrapText="1"/>
    </xf>
    <xf numFmtId="0" fontId="41" fillId="0" borderId="0" xfId="0" applyFont="1" applyFill="1" applyBorder="1" applyAlignment="1" applyProtection="1">
      <alignment vertical="top"/>
    </xf>
    <xf numFmtId="0" fontId="40" fillId="0" borderId="0" xfId="0" applyFont="1" applyFill="1" applyBorder="1" applyAlignment="1" applyProtection="1">
      <alignment vertical="top"/>
    </xf>
    <xf numFmtId="0" fontId="22" fillId="0" borderId="0" xfId="0" applyFont="1" applyFill="1" applyBorder="1" applyAlignment="1" applyProtection="1">
      <alignment vertical="top"/>
    </xf>
    <xf numFmtId="0" fontId="23" fillId="0" borderId="0" xfId="0" applyFont="1" applyAlignment="1">
      <alignment vertical="top" wrapText="1"/>
    </xf>
    <xf numFmtId="0" fontId="30" fillId="0" borderId="0" xfId="15" applyFont="1"/>
    <xf numFmtId="0" fontId="59" fillId="0" borderId="6" xfId="15" applyFont="1" applyFill="1" applyBorder="1" applyAlignment="1">
      <alignment horizontal="center"/>
    </xf>
    <xf numFmtId="0" fontId="59" fillId="8" borderId="6" xfId="15" applyFont="1" applyFill="1" applyBorder="1" applyAlignment="1">
      <alignment horizontal="center"/>
    </xf>
    <xf numFmtId="0" fontId="59" fillId="8" borderId="6" xfId="15" applyFont="1" applyFill="1" applyBorder="1" applyAlignment="1">
      <alignment horizontal="center" wrapText="1"/>
    </xf>
    <xf numFmtId="0" fontId="30" fillId="8" borderId="6" xfId="15" applyFont="1" applyFill="1" applyBorder="1" applyAlignment="1">
      <alignment wrapText="1"/>
    </xf>
    <xf numFmtId="0" fontId="30" fillId="8" borderId="6" xfId="15" applyFont="1" applyFill="1" applyBorder="1"/>
    <xf numFmtId="4" fontId="30" fillId="8" borderId="6" xfId="15" applyNumberFormat="1" applyFont="1" applyFill="1" applyBorder="1"/>
    <xf numFmtId="10" fontId="59" fillId="8" borderId="6" xfId="23" applyNumberFormat="1" applyFont="1" applyFill="1" applyBorder="1"/>
    <xf numFmtId="0" fontId="23" fillId="0" borderId="0" xfId="0" applyFont="1" applyFill="1" applyAlignment="1">
      <alignment vertical="top" wrapText="1"/>
    </xf>
    <xf numFmtId="0" fontId="24" fillId="0" borderId="0" xfId="15" applyFont="1" applyFill="1"/>
    <xf numFmtId="0" fontId="23" fillId="0" borderId="0" xfId="15" applyFont="1" applyFill="1"/>
    <xf numFmtId="0" fontId="23" fillId="0" borderId="6" xfId="15" applyFont="1" applyFill="1" applyBorder="1"/>
    <xf numFmtId="0" fontId="24" fillId="0" borderId="6" xfId="15" applyFont="1" applyFill="1" applyBorder="1" applyAlignment="1">
      <alignment horizontal="center" vertical="center" wrapText="1"/>
    </xf>
    <xf numFmtId="10" fontId="23" fillId="0" borderId="6" xfId="21" applyNumberFormat="1" applyFont="1" applyFill="1" applyBorder="1"/>
    <xf numFmtId="4" fontId="23" fillId="0" borderId="6" xfId="21" applyNumberFormat="1" applyFont="1" applyFill="1" applyBorder="1"/>
    <xf numFmtId="0" fontId="23" fillId="0" borderId="6" xfId="15" applyFont="1" applyFill="1" applyBorder="1" applyAlignment="1">
      <alignment horizontal="center" vertical="center" wrapText="1"/>
    </xf>
    <xf numFmtId="0" fontId="23" fillId="0" borderId="6" xfId="15" applyFont="1" applyFill="1" applyBorder="1" applyAlignment="1">
      <alignment horizontal="center" vertical="center"/>
    </xf>
    <xf numFmtId="10" fontId="23" fillId="0" borderId="6" xfId="22" applyNumberFormat="1" applyFont="1" applyFill="1" applyBorder="1" applyAlignment="1">
      <alignment horizontal="center"/>
    </xf>
    <xf numFmtId="10" fontId="23" fillId="0" borderId="6" xfId="15" applyNumberFormat="1" applyFont="1" applyFill="1" applyBorder="1" applyAlignment="1">
      <alignment horizontal="center"/>
    </xf>
    <xf numFmtId="4" fontId="23" fillId="0" borderId="0" xfId="15" applyNumberFormat="1" applyFont="1" applyFill="1" applyBorder="1"/>
    <xf numFmtId="10" fontId="23" fillId="0" borderId="0" xfId="22" applyNumberFormat="1" applyFont="1" applyFill="1" applyBorder="1" applyAlignment="1">
      <alignment horizontal="center"/>
    </xf>
    <xf numFmtId="10" fontId="23" fillId="0" borderId="0" xfId="15" applyNumberFormat="1" applyFont="1" applyFill="1" applyBorder="1" applyAlignment="1">
      <alignment horizontal="center"/>
    </xf>
    <xf numFmtId="4" fontId="23" fillId="0" borderId="0" xfId="2" applyNumberFormat="1" applyFont="1" applyFill="1" applyBorder="1" applyAlignment="1"/>
    <xf numFmtId="10" fontId="23" fillId="0" borderId="0" xfId="21" applyNumberFormat="1" applyFont="1" applyFill="1" applyBorder="1"/>
    <xf numFmtId="164" fontId="23" fillId="0" borderId="0" xfId="4" applyFont="1" applyFill="1"/>
    <xf numFmtId="10" fontId="28" fillId="0" borderId="0" xfId="21" applyNumberFormat="1" applyFont="1" applyFill="1"/>
    <xf numFmtId="4" fontId="28" fillId="0" borderId="0" xfId="15" applyNumberFormat="1" applyFont="1" applyFill="1"/>
    <xf numFmtId="0" fontId="24" fillId="0" borderId="0" xfId="0" applyFont="1" applyFill="1" applyAlignment="1">
      <alignment vertical="top" wrapText="1"/>
    </xf>
    <xf numFmtId="0" fontId="23" fillId="0" borderId="18" xfId="15" applyFont="1" applyFill="1" applyBorder="1" applyAlignment="1">
      <alignment horizontal="center" vertical="center"/>
    </xf>
    <xf numFmtId="1" fontId="23" fillId="0" borderId="0" xfId="0" applyNumberFormat="1" applyFont="1" applyFill="1" applyAlignment="1">
      <alignment vertical="top" wrapText="1"/>
    </xf>
    <xf numFmtId="10" fontId="23" fillId="0" borderId="0" xfId="21" applyNumberFormat="1" applyFont="1" applyFill="1" applyAlignment="1">
      <alignment vertical="top" wrapText="1"/>
    </xf>
    <xf numFmtId="168" fontId="23" fillId="0" borderId="0" xfId="21" applyNumberFormat="1" applyFont="1" applyFill="1" applyAlignment="1">
      <alignment vertical="top" wrapText="1"/>
    </xf>
    <xf numFmtId="0" fontId="24" fillId="0" borderId="0" xfId="15" applyFont="1" applyFill="1" applyBorder="1"/>
    <xf numFmtId="0" fontId="23" fillId="0" borderId="0" xfId="15" applyFont="1" applyFill="1" applyBorder="1"/>
    <xf numFmtId="0" fontId="23" fillId="0" borderId="0" xfId="0" applyFont="1" applyFill="1"/>
    <xf numFmtId="0" fontId="23" fillId="0" borderId="0" xfId="0" applyFont="1" applyFill="1" applyBorder="1"/>
    <xf numFmtId="0" fontId="23" fillId="0" borderId="18" xfId="15" applyFont="1" applyFill="1" applyBorder="1" applyAlignment="1">
      <alignment horizontal="center" vertical="center" wrapText="1"/>
    </xf>
    <xf numFmtId="0" fontId="23" fillId="0" borderId="0" xfId="15" applyFont="1" applyFill="1" applyBorder="1" applyAlignment="1">
      <alignment horizontal="center" vertical="center" wrapText="1"/>
    </xf>
    <xf numFmtId="3" fontId="23" fillId="0" borderId="6" xfId="15" applyNumberFormat="1" applyFont="1" applyFill="1" applyBorder="1" applyAlignment="1">
      <alignment horizontal="right" vertical="center" wrapText="1"/>
    </xf>
    <xf numFmtId="10" fontId="23" fillId="0" borderId="6" xfId="21" applyNumberFormat="1" applyFont="1" applyFill="1" applyBorder="1" applyAlignment="1">
      <alignment horizontal="center" vertical="center" wrapText="1"/>
    </xf>
    <xf numFmtId="10" fontId="23" fillId="0" borderId="12" xfId="21" applyNumberFormat="1" applyFont="1" applyFill="1" applyBorder="1" applyAlignment="1">
      <alignment horizontal="center" vertical="center" wrapText="1"/>
    </xf>
    <xf numFmtId="4" fontId="23" fillId="0" borderId="12" xfId="15" applyNumberFormat="1" applyFont="1" applyFill="1" applyBorder="1" applyAlignment="1">
      <alignment horizontal="center" vertical="center" wrapText="1"/>
    </xf>
    <xf numFmtId="10" fontId="23" fillId="0" borderId="43" xfId="21" applyNumberFormat="1" applyFont="1" applyFill="1" applyBorder="1" applyAlignment="1">
      <alignment horizontal="center" vertical="center" wrapText="1"/>
    </xf>
    <xf numFmtId="168" fontId="23" fillId="0" borderId="0" xfId="21" applyNumberFormat="1" applyFont="1" applyFill="1" applyBorder="1" applyAlignment="1">
      <alignment horizontal="center" vertical="center" wrapText="1"/>
    </xf>
    <xf numFmtId="0" fontId="60" fillId="0" borderId="6" xfId="0" applyFont="1" applyFill="1" applyBorder="1" applyAlignment="1">
      <alignment vertical="top" wrapText="1"/>
    </xf>
    <xf numFmtId="0" fontId="60" fillId="0" borderId="6" xfId="0" applyFont="1" applyFill="1" applyBorder="1" applyAlignment="1">
      <alignment horizontal="center" vertical="top" wrapText="1"/>
    </xf>
    <xf numFmtId="0" fontId="61" fillId="0" borderId="6" xfId="0" applyFont="1" applyFill="1" applyBorder="1" applyAlignment="1">
      <alignment vertical="top" wrapText="1"/>
    </xf>
    <xf numFmtId="10" fontId="61" fillId="0" borderId="6" xfId="21" applyNumberFormat="1" applyFont="1" applyFill="1" applyBorder="1" applyAlignment="1"/>
    <xf numFmtId="10" fontId="61" fillId="0" borderId="6" xfId="0" applyNumberFormat="1" applyFont="1" applyFill="1" applyBorder="1" applyAlignment="1"/>
    <xf numFmtId="4" fontId="61" fillId="0" borderId="6" xfId="0" applyNumberFormat="1" applyFont="1" applyFill="1" applyBorder="1" applyAlignment="1">
      <alignment vertical="top" wrapText="1"/>
    </xf>
    <xf numFmtId="0" fontId="62" fillId="0" borderId="6" xfId="0" applyFont="1" applyFill="1" applyBorder="1" applyAlignment="1">
      <alignment vertical="top" wrapText="1"/>
    </xf>
    <xf numFmtId="0" fontId="60" fillId="0" borderId="6" xfId="0" applyFont="1" applyFill="1" applyBorder="1" applyAlignment="1"/>
    <xf numFmtId="4" fontId="60" fillId="0" borderId="6" xfId="0" applyNumberFormat="1" applyFont="1" applyFill="1" applyBorder="1" applyAlignment="1">
      <alignment horizontal="right" wrapText="1"/>
    </xf>
    <xf numFmtId="10" fontId="61" fillId="0" borderId="6" xfId="0" applyNumberFormat="1" applyFont="1" applyFill="1" applyBorder="1" applyAlignment="1">
      <alignment horizontal="right"/>
    </xf>
    <xf numFmtId="0" fontId="26" fillId="0" borderId="6" xfId="0" applyFont="1" applyFill="1" applyBorder="1" applyAlignment="1">
      <alignment vertical="top"/>
    </xf>
    <xf numFmtId="0" fontId="61" fillId="0" borderId="0" xfId="0" applyFont="1" applyFill="1" applyAlignment="1">
      <alignment vertical="top" wrapText="1"/>
    </xf>
    <xf numFmtId="0" fontId="61" fillId="0" borderId="6" xfId="0" applyFont="1" applyFill="1" applyBorder="1" applyAlignment="1">
      <alignment horizontal="right"/>
    </xf>
    <xf numFmtId="3" fontId="63" fillId="0" borderId="0" xfId="0" applyNumberFormat="1" applyFont="1" applyFill="1" applyBorder="1" applyAlignment="1" applyProtection="1">
      <alignment vertical="top"/>
    </xf>
    <xf numFmtId="3" fontId="29" fillId="0" borderId="0" xfId="0" applyNumberFormat="1" applyFont="1" applyFill="1" applyBorder="1" applyAlignment="1" applyProtection="1">
      <alignment vertical="top"/>
    </xf>
    <xf numFmtId="0" fontId="40" fillId="0" borderId="0" xfId="0" applyFont="1" applyAlignment="1">
      <alignment horizontal="left" vertical="top" wrapText="1"/>
    </xf>
    <xf numFmtId="3" fontId="22" fillId="0" borderId="0" xfId="0" applyNumberFormat="1" applyFont="1" applyAlignment="1">
      <alignment vertical="top"/>
    </xf>
    <xf numFmtId="0" fontId="64" fillId="0" borderId="0" xfId="15" applyFont="1" applyFill="1"/>
    <xf numFmtId="0" fontId="41" fillId="0" borderId="0" xfId="0" applyFont="1" applyFill="1" applyBorder="1" applyAlignment="1" applyProtection="1">
      <alignment vertical="top" wrapText="1"/>
    </xf>
    <xf numFmtId="10" fontId="24" fillId="0" borderId="0" xfId="21" applyNumberFormat="1" applyFont="1" applyFill="1" applyBorder="1" applyAlignment="1" applyProtection="1">
      <alignment vertical="top" wrapText="1"/>
    </xf>
    <xf numFmtId="0" fontId="41" fillId="0" borderId="0" xfId="0" applyFont="1" applyFill="1" applyBorder="1" applyAlignment="1" applyProtection="1">
      <alignment vertical="center"/>
    </xf>
    <xf numFmtId="0" fontId="24" fillId="0" borderId="0" xfId="0" applyFont="1" applyFill="1" applyBorder="1" applyAlignment="1" applyProtection="1">
      <alignment vertical="center" wrapText="1"/>
    </xf>
    <xf numFmtId="3" fontId="24" fillId="0" borderId="0" xfId="0" applyNumberFormat="1" applyFont="1" applyFill="1" applyBorder="1" applyAlignment="1" applyProtection="1">
      <alignment horizontal="center" vertical="center" wrapText="1"/>
    </xf>
    <xf numFmtId="10" fontId="31" fillId="0" borderId="0" xfId="21" applyNumberFormat="1" applyFont="1" applyFill="1" applyBorder="1" applyAlignment="1" applyProtection="1">
      <alignment vertical="top" wrapText="1"/>
    </xf>
    <xf numFmtId="0" fontId="22" fillId="0" borderId="0" xfId="0" applyFont="1" applyFill="1" applyBorder="1" applyAlignment="1" applyProtection="1">
      <alignment horizontal="left" vertical="top"/>
    </xf>
    <xf numFmtId="0" fontId="40" fillId="0" borderId="0" xfId="0" applyFont="1" applyFill="1" applyBorder="1" applyAlignment="1" applyProtection="1">
      <alignment horizontal="left" vertical="top"/>
    </xf>
    <xf numFmtId="0" fontId="39" fillId="0" borderId="0" xfId="0" applyFont="1" applyFill="1" applyBorder="1" applyAlignment="1" applyProtection="1">
      <alignment vertical="top" wrapText="1"/>
    </xf>
    <xf numFmtId="3" fontId="39" fillId="0" borderId="0" xfId="0" applyNumberFormat="1" applyFont="1" applyFill="1" applyBorder="1" applyAlignment="1" applyProtection="1">
      <alignment vertical="top" wrapText="1"/>
    </xf>
    <xf numFmtId="0" fontId="23" fillId="0" borderId="0" xfId="0" applyFont="1" applyFill="1" applyBorder="1" applyAlignment="1"/>
    <xf numFmtId="3" fontId="22" fillId="0" borderId="0" xfId="0" applyNumberFormat="1" applyFont="1" applyFill="1" applyBorder="1" applyAlignment="1">
      <alignment vertical="top"/>
    </xf>
    <xf numFmtId="3" fontId="34" fillId="0" borderId="0" xfId="0" applyNumberFormat="1" applyFont="1" applyFill="1" applyBorder="1" applyAlignment="1">
      <alignment horizontal="center" vertical="top" wrapText="1"/>
    </xf>
    <xf numFmtId="0" fontId="40" fillId="0" borderId="0" xfId="0" applyFont="1" applyFill="1" applyBorder="1" applyAlignment="1">
      <alignment horizontal="left" vertical="top" wrapText="1"/>
    </xf>
    <xf numFmtId="1" fontId="23" fillId="0" borderId="0" xfId="0" applyNumberFormat="1" applyFont="1" applyFill="1" applyBorder="1" applyAlignment="1"/>
    <xf numFmtId="0" fontId="34" fillId="0" borderId="0" xfId="0" applyFont="1" applyFill="1" applyBorder="1" applyAlignment="1">
      <alignment vertical="top" wrapText="1"/>
    </xf>
    <xf numFmtId="0" fontId="23" fillId="0" borderId="6" xfId="0" applyFont="1" applyFill="1" applyBorder="1" applyAlignment="1">
      <alignment horizontal="left"/>
    </xf>
    <xf numFmtId="0" fontId="23" fillId="0" borderId="6" xfId="0" applyFont="1" applyFill="1" applyBorder="1" applyAlignment="1">
      <alignment horizontal="center"/>
    </xf>
    <xf numFmtId="169" fontId="23" fillId="0" borderId="6" xfId="0" applyNumberFormat="1" applyFont="1" applyFill="1" applyBorder="1" applyAlignment="1"/>
    <xf numFmtId="0" fontId="24" fillId="0" borderId="6" xfId="0" applyFont="1" applyFill="1" applyBorder="1" applyAlignment="1">
      <alignment vertical="top" wrapText="1"/>
    </xf>
    <xf numFmtId="0" fontId="24" fillId="0" borderId="6" xfId="0" applyFont="1" applyFill="1" applyBorder="1" applyAlignment="1">
      <alignment horizontal="center" vertical="top" wrapText="1"/>
    </xf>
    <xf numFmtId="1" fontId="23" fillId="0" borderId="6" xfId="0" applyNumberFormat="1" applyFont="1" applyFill="1" applyBorder="1" applyAlignment="1"/>
    <xf numFmtId="0" fontId="24" fillId="0" borderId="6" xfId="0" applyFont="1" applyFill="1" applyBorder="1" applyAlignment="1"/>
    <xf numFmtId="0" fontId="24" fillId="0" borderId="6" xfId="0" applyFont="1" applyFill="1" applyBorder="1" applyAlignment="1">
      <alignment wrapText="1"/>
    </xf>
    <xf numFmtId="0" fontId="23" fillId="0" borderId="6" xfId="0" applyFont="1" applyFill="1" applyBorder="1" applyAlignment="1">
      <alignment vertical="top" wrapText="1"/>
    </xf>
    <xf numFmtId="4" fontId="23" fillId="0" borderId="6" xfId="0" applyNumberFormat="1" applyFont="1" applyFill="1" applyBorder="1" applyAlignment="1">
      <alignment horizontal="right"/>
    </xf>
    <xf numFmtId="166" fontId="23" fillId="0" borderId="6" xfId="0" applyNumberFormat="1" applyFont="1" applyFill="1" applyBorder="1" applyAlignment="1">
      <alignment horizontal="right"/>
    </xf>
    <xf numFmtId="165" fontId="23" fillId="0" borderId="6" xfId="0" applyNumberFormat="1" applyFont="1" applyFill="1" applyBorder="1" applyAlignment="1">
      <alignment horizontal="right"/>
    </xf>
    <xf numFmtId="0" fontId="24" fillId="0" borderId="6" xfId="0" applyFont="1" applyFill="1" applyBorder="1" applyAlignment="1" applyProtection="1">
      <alignment horizontal="center"/>
    </xf>
    <xf numFmtId="0" fontId="24" fillId="0" borderId="6" xfId="0" applyFont="1" applyFill="1" applyBorder="1" applyAlignment="1" applyProtection="1">
      <alignment vertical="top" wrapText="1"/>
    </xf>
    <xf numFmtId="3" fontId="23" fillId="0" borderId="6" xfId="0" applyNumberFormat="1" applyFont="1" applyFill="1" applyBorder="1" applyAlignment="1" applyProtection="1">
      <alignment horizontal="right"/>
    </xf>
    <xf numFmtId="3" fontId="24" fillId="0" borderId="6" xfId="0" applyNumberFormat="1" applyFont="1" applyFill="1" applyBorder="1" applyAlignment="1" applyProtection="1">
      <alignment horizontal="right"/>
    </xf>
    <xf numFmtId="1" fontId="24" fillId="0" borderId="6" xfId="0" applyNumberFormat="1" applyFont="1" applyFill="1" applyBorder="1" applyAlignment="1" applyProtection="1">
      <alignment horizontal="center"/>
    </xf>
    <xf numFmtId="0" fontId="30" fillId="8" borderId="0" xfId="0" applyFont="1" applyFill="1" applyBorder="1" applyAlignment="1" applyProtection="1">
      <alignment vertical="top" wrapText="1"/>
    </xf>
    <xf numFmtId="4" fontId="24" fillId="8" borderId="0" xfId="0" applyNumberFormat="1" applyFont="1" applyFill="1" applyBorder="1" applyAlignment="1" applyProtection="1">
      <alignment horizontal="right"/>
    </xf>
    <xf numFmtId="0" fontId="23" fillId="8" borderId="0" xfId="0" applyFont="1" applyFill="1" applyBorder="1" applyAlignment="1" applyProtection="1">
      <alignment horizontal="right" vertical="top" wrapText="1"/>
    </xf>
    <xf numFmtId="171" fontId="24" fillId="8" borderId="0" xfId="0" applyNumberFormat="1" applyFont="1" applyFill="1" applyBorder="1" applyAlignment="1" applyProtection="1">
      <alignment horizontal="right"/>
    </xf>
    <xf numFmtId="0" fontId="27" fillId="8" borderId="0" xfId="0" applyFont="1" applyFill="1" applyBorder="1" applyAlignment="1" applyProtection="1">
      <alignment vertical="top" wrapText="1"/>
    </xf>
    <xf numFmtId="4" fontId="27" fillId="8" borderId="0" xfId="0" applyNumberFormat="1" applyFont="1" applyFill="1" applyBorder="1" applyAlignment="1" applyProtection="1">
      <alignment horizontal="right" vertical="top" wrapText="1"/>
    </xf>
    <xf numFmtId="0" fontId="24" fillId="8" borderId="0" xfId="0" applyFont="1" applyFill="1" applyBorder="1" applyAlignment="1" applyProtection="1">
      <alignment vertical="top" wrapText="1"/>
    </xf>
    <xf numFmtId="173" fontId="24" fillId="8" borderId="0" xfId="4" applyNumberFormat="1" applyFont="1" applyFill="1" applyBorder="1" applyAlignment="1" applyProtection="1">
      <alignment vertical="top" wrapText="1"/>
    </xf>
    <xf numFmtId="164" fontId="24" fillId="8" borderId="0" xfId="4" applyNumberFormat="1" applyFont="1" applyFill="1" applyBorder="1" applyAlignment="1" applyProtection="1">
      <alignment vertical="top" wrapText="1"/>
    </xf>
    <xf numFmtId="10" fontId="23" fillId="8" borderId="0" xfId="21" applyNumberFormat="1" applyFont="1" applyFill="1" applyBorder="1" applyAlignment="1" applyProtection="1">
      <alignment vertical="top" wrapText="1"/>
    </xf>
    <xf numFmtId="0" fontId="23" fillId="8" borderId="0" xfId="0" applyFont="1" applyFill="1" applyBorder="1" applyAlignment="1" applyProtection="1">
      <alignment vertical="top" wrapText="1"/>
    </xf>
    <xf numFmtId="0" fontId="23" fillId="0" borderId="6" xfId="0" applyFont="1" applyBorder="1" applyAlignment="1">
      <alignment vertical="top" wrapText="1"/>
    </xf>
    <xf numFmtId="174" fontId="23" fillId="0" borderId="6" xfId="0" applyNumberFormat="1" applyFont="1" applyBorder="1" applyAlignment="1">
      <alignment vertical="top" wrapText="1"/>
    </xf>
    <xf numFmtId="10" fontId="23" fillId="0" borderId="6" xfId="0" applyNumberFormat="1" applyFont="1" applyBorder="1" applyAlignment="1">
      <alignment vertical="top" wrapText="1"/>
    </xf>
    <xf numFmtId="9" fontId="23" fillId="0" borderId="6" xfId="0" applyNumberFormat="1" applyFont="1" applyBorder="1" applyAlignment="1">
      <alignment vertical="top" wrapText="1"/>
    </xf>
    <xf numFmtId="0" fontId="24" fillId="0" borderId="6" xfId="0" applyFont="1" applyFill="1" applyBorder="1" applyAlignment="1" applyProtection="1">
      <alignment vertical="top"/>
    </xf>
    <xf numFmtId="166" fontId="23" fillId="0" borderId="6" xfId="0" applyNumberFormat="1" applyFont="1" applyFill="1" applyBorder="1" applyAlignment="1" applyProtection="1">
      <alignment horizontal="center"/>
    </xf>
    <xf numFmtId="3" fontId="23" fillId="0" borderId="6" xfId="0" applyNumberFormat="1" applyFont="1" applyFill="1" applyBorder="1" applyAlignment="1" applyProtection="1">
      <alignment vertical="top" wrapText="1"/>
    </xf>
    <xf numFmtId="3" fontId="24" fillId="0" borderId="6" xfId="0" applyNumberFormat="1" applyFont="1" applyFill="1" applyBorder="1" applyAlignment="1" applyProtection="1"/>
    <xf numFmtId="0" fontId="24" fillId="0" borderId="6" xfId="0" applyFont="1" applyFill="1" applyBorder="1" applyAlignment="1" applyProtection="1">
      <alignment wrapText="1"/>
    </xf>
    <xf numFmtId="10" fontId="24" fillId="0" borderId="6" xfId="21" applyNumberFormat="1" applyFont="1" applyFill="1" applyBorder="1" applyAlignment="1" applyProtection="1">
      <alignment wrapText="1"/>
    </xf>
    <xf numFmtId="0" fontId="24" fillId="0" borderId="6" xfId="0" applyFont="1" applyFill="1" applyBorder="1" applyAlignment="1" applyProtection="1">
      <alignment horizontal="right"/>
    </xf>
    <xf numFmtId="0" fontId="23" fillId="0" borderId="6" xfId="0" applyFont="1" applyFill="1" applyBorder="1" applyAlignment="1" applyProtection="1">
      <alignment wrapText="1"/>
    </xf>
    <xf numFmtId="3" fontId="23" fillId="0" borderId="6" xfId="0" applyNumberFormat="1" applyFont="1" applyFill="1" applyBorder="1" applyAlignment="1" applyProtection="1">
      <alignment horizontal="right" wrapText="1"/>
    </xf>
    <xf numFmtId="166" fontId="23" fillId="0" borderId="6" xfId="0" applyNumberFormat="1" applyFont="1" applyFill="1" applyBorder="1" applyAlignment="1" applyProtection="1">
      <alignment horizontal="right"/>
    </xf>
    <xf numFmtId="166" fontId="24" fillId="0" borderId="6" xfId="0" applyNumberFormat="1" applyFont="1" applyFill="1" applyBorder="1" applyAlignment="1" applyProtection="1">
      <alignment horizontal="right"/>
    </xf>
    <xf numFmtId="169" fontId="24" fillId="0" borderId="6" xfId="0" applyNumberFormat="1" applyFont="1" applyFill="1" applyBorder="1" applyAlignment="1" applyProtection="1">
      <alignment horizontal="right"/>
    </xf>
    <xf numFmtId="0" fontId="39" fillId="0" borderId="6" xfId="0" applyFont="1" applyFill="1" applyBorder="1" applyAlignment="1" applyProtection="1">
      <alignment horizontal="right" vertical="top" wrapText="1"/>
    </xf>
    <xf numFmtId="3" fontId="39" fillId="0" borderId="6" xfId="0" applyNumberFormat="1" applyFont="1" applyFill="1" applyBorder="1" applyAlignment="1" applyProtection="1">
      <alignment horizontal="right" vertical="top" wrapText="1"/>
    </xf>
    <xf numFmtId="10" fontId="30" fillId="9" borderId="6" xfId="21" applyNumberFormat="1" applyFont="1" applyFill="1" applyBorder="1" applyAlignment="1" applyProtection="1"/>
    <xf numFmtId="4" fontId="23" fillId="0" borderId="6" xfId="15" applyNumberFormat="1" applyFont="1" applyFill="1" applyBorder="1" applyAlignment="1">
      <alignment horizontal="center"/>
    </xf>
    <xf numFmtId="4" fontId="23" fillId="0" borderId="6" xfId="2" applyNumberFormat="1" applyFont="1" applyFill="1" applyBorder="1" applyAlignment="1">
      <alignment horizontal="center"/>
    </xf>
    <xf numFmtId="10" fontId="23" fillId="0" borderId="6" xfId="21" applyNumberFormat="1" applyFont="1" applyFill="1" applyBorder="1" applyAlignment="1">
      <alignment horizontal="center"/>
    </xf>
    <xf numFmtId="4" fontId="23" fillId="0" borderId="12" xfId="2" applyNumberFormat="1" applyFont="1" applyFill="1" applyBorder="1" applyAlignment="1">
      <alignment horizontal="center"/>
    </xf>
    <xf numFmtId="4" fontId="23" fillId="0" borderId="19" xfId="2" applyNumberFormat="1" applyFont="1" applyFill="1" applyBorder="1" applyAlignment="1">
      <alignment horizontal="center"/>
    </xf>
    <xf numFmtId="3" fontId="23" fillId="0" borderId="6" xfId="15" applyNumberFormat="1" applyFont="1" applyFill="1" applyBorder="1" applyAlignment="1">
      <alignment horizontal="center"/>
    </xf>
    <xf numFmtId="10" fontId="23" fillId="0" borderId="43" xfId="21" applyNumberFormat="1" applyFont="1" applyFill="1" applyBorder="1" applyAlignment="1">
      <alignment horizontal="center"/>
    </xf>
    <xf numFmtId="4" fontId="23" fillId="0" borderId="6" xfId="21" applyNumberFormat="1" applyFont="1" applyFill="1" applyBorder="1" applyAlignment="1">
      <alignment horizontal="center"/>
    </xf>
    <xf numFmtId="0" fontId="41" fillId="0" borderId="6" xfId="0" applyFont="1" applyFill="1" applyBorder="1" applyAlignment="1" applyProtection="1">
      <alignment vertical="top"/>
    </xf>
    <xf numFmtId="3" fontId="23" fillId="0" borderId="6" xfId="0" applyNumberFormat="1" applyFont="1" applyFill="1" applyBorder="1" applyAlignment="1" applyProtection="1">
      <alignment horizontal="center"/>
    </xf>
    <xf numFmtId="3" fontId="23" fillId="0" borderId="6" xfId="2" applyNumberFormat="1" applyFont="1" applyFill="1" applyBorder="1" applyAlignment="1" applyProtection="1">
      <alignment horizontal="right"/>
    </xf>
    <xf numFmtId="9" fontId="23" fillId="0" borderId="6" xfId="2" applyNumberFormat="1" applyFont="1" applyFill="1" applyBorder="1" applyAlignment="1" applyProtection="1">
      <alignment horizontal="right"/>
    </xf>
    <xf numFmtId="0" fontId="23" fillId="0" borderId="6" xfId="0" applyFont="1" applyFill="1" applyBorder="1" applyAlignment="1" applyProtection="1">
      <alignment horizontal="left" vertical="top" wrapText="1"/>
    </xf>
    <xf numFmtId="4" fontId="23" fillId="0" borderId="6" xfId="2" applyNumberFormat="1" applyFont="1" applyFill="1" applyBorder="1" applyAlignment="1" applyProtection="1">
      <alignment horizontal="right"/>
    </xf>
    <xf numFmtId="4" fontId="23" fillId="0" borderId="6" xfId="0" applyNumberFormat="1" applyFont="1" applyFill="1" applyBorder="1" applyAlignment="1" applyProtection="1">
      <alignment horizontal="right"/>
    </xf>
    <xf numFmtId="4" fontId="24" fillId="0" borderId="6" xfId="0" applyNumberFormat="1" applyFont="1" applyFill="1" applyBorder="1" applyAlignment="1" applyProtection="1">
      <alignment horizontal="right"/>
    </xf>
    <xf numFmtId="10" fontId="23" fillId="0" borderId="6" xfId="0" applyNumberFormat="1" applyFont="1" applyFill="1" applyBorder="1" applyAlignment="1" applyProtection="1">
      <alignment horizontal="right"/>
    </xf>
    <xf numFmtId="3" fontId="29" fillId="0" borderId="6" xfId="0" applyNumberFormat="1" applyFont="1" applyFill="1" applyBorder="1" applyAlignment="1" applyProtection="1">
      <alignment horizontal="right"/>
    </xf>
    <xf numFmtId="0" fontId="23" fillId="0" borderId="6" xfId="0" applyFont="1" applyFill="1" applyBorder="1" applyAlignment="1" applyProtection="1">
      <alignment horizontal="left" wrapText="1"/>
    </xf>
    <xf numFmtId="166" fontId="24" fillId="0" borderId="0" xfId="0" applyNumberFormat="1" applyFont="1" applyFill="1" applyBorder="1" applyAlignment="1" applyProtection="1">
      <alignment horizontal="left"/>
    </xf>
    <xf numFmtId="0" fontId="30" fillId="0" borderId="6" xfId="15" applyFont="1" applyFill="1" applyBorder="1" applyAlignment="1">
      <alignment horizontal="center"/>
    </xf>
    <xf numFmtId="0" fontId="23" fillId="8" borderId="6" xfId="0" applyFont="1" applyFill="1" applyBorder="1" applyAlignment="1" applyProtection="1">
      <alignment vertical="center" wrapText="1"/>
      <protection locked="0"/>
    </xf>
    <xf numFmtId="0" fontId="23" fillId="8" borderId="6" xfId="0" applyFont="1" applyFill="1" applyBorder="1" applyAlignment="1" applyProtection="1">
      <alignment horizontal="left" vertical="center" wrapText="1"/>
      <protection locked="0"/>
    </xf>
    <xf numFmtId="4" fontId="23" fillId="8" borderId="6" xfId="0" applyNumberFormat="1" applyFont="1" applyFill="1" applyBorder="1" applyProtection="1">
      <protection locked="0"/>
    </xf>
    <xf numFmtId="0" fontId="23" fillId="8" borderId="6" xfId="0" applyFont="1" applyFill="1" applyBorder="1" applyAlignment="1" applyProtection="1">
      <alignment wrapText="1"/>
      <protection locked="0"/>
    </xf>
    <xf numFmtId="4" fontId="44" fillId="8" borderId="0" xfId="0" applyNumberFormat="1" applyFont="1" applyFill="1" applyBorder="1" applyAlignment="1" applyProtection="1">
      <protection locked="0"/>
    </xf>
    <xf numFmtId="1" fontId="24" fillId="0" borderId="6" xfId="0" applyNumberFormat="1" applyFont="1" applyFill="1" applyBorder="1" applyAlignment="1"/>
    <xf numFmtId="10" fontId="24" fillId="0" borderId="0" xfId="0" applyNumberFormat="1" applyFont="1" applyFill="1" applyBorder="1" applyAlignment="1" applyProtection="1">
      <alignment horizontal="center"/>
    </xf>
    <xf numFmtId="0" fontId="24" fillId="0" borderId="6" xfId="0" applyFont="1" applyBorder="1" applyAlignment="1">
      <alignment horizontal="center" vertical="top" wrapText="1"/>
    </xf>
    <xf numFmtId="0" fontId="27" fillId="9" borderId="6" xfId="0" applyFont="1" applyFill="1" applyBorder="1" applyAlignment="1" applyProtection="1">
      <alignment horizontal="centerContinuous"/>
    </xf>
    <xf numFmtId="0" fontId="26" fillId="0" borderId="66" xfId="0" applyFont="1" applyBorder="1" applyAlignment="1" applyProtection="1">
      <alignment horizontal="left" vertical="top" wrapText="1"/>
    </xf>
    <xf numFmtId="0" fontId="26" fillId="0" borderId="0" xfId="0" applyFont="1" applyAlignment="1" applyProtection="1">
      <alignment horizontal="left" vertical="top" wrapText="1"/>
    </xf>
    <xf numFmtId="0" fontId="26" fillId="0" borderId="64" xfId="0" applyFont="1" applyBorder="1" applyAlignment="1" applyProtection="1">
      <alignment horizontal="left" vertical="top" wrapText="1"/>
    </xf>
    <xf numFmtId="0" fontId="24" fillId="9" borderId="6" xfId="0" applyFont="1" applyFill="1" applyBorder="1" applyAlignment="1" applyProtection="1">
      <alignment horizontal="centerContinuous" vertical="top" wrapText="1"/>
    </xf>
    <xf numFmtId="0" fontId="24" fillId="9" borderId="12" xfId="0" applyFont="1" applyFill="1" applyBorder="1" applyAlignment="1" applyProtection="1">
      <alignment horizontal="centerContinuous" vertical="top" wrapText="1"/>
    </xf>
    <xf numFmtId="0" fontId="24" fillId="9" borderId="16" xfId="0" applyFont="1" applyFill="1" applyBorder="1" applyAlignment="1" applyProtection="1">
      <alignment horizontal="centerContinuous" vertical="top" wrapText="1"/>
    </xf>
    <xf numFmtId="0" fontId="24" fillId="9" borderId="19" xfId="0" applyFont="1" applyFill="1" applyBorder="1" applyAlignment="1" applyProtection="1">
      <alignment horizontal="centerContinuous" vertical="top" wrapText="1"/>
    </xf>
    <xf numFmtId="0" fontId="25" fillId="0" borderId="0" xfId="19" applyFont="1" applyAlignment="1" applyProtection="1">
      <alignment horizontal="left" vertical="top" wrapText="1"/>
    </xf>
    <xf numFmtId="3" fontId="63" fillId="0" borderId="0" xfId="0" applyNumberFormat="1" applyFont="1" applyAlignment="1">
      <alignment horizontal="left" vertical="top" wrapText="1"/>
    </xf>
    <xf numFmtId="0" fontId="44" fillId="8" borderId="0" xfId="0" applyFont="1" applyFill="1" applyBorder="1" applyAlignment="1" applyProtection="1">
      <alignment wrapText="1"/>
    </xf>
    <xf numFmtId="0" fontId="23" fillId="0" borderId="0" xfId="0" applyFont="1" applyAlignment="1" applyProtection="1">
      <alignment wrapText="1"/>
    </xf>
    <xf numFmtId="0" fontId="40" fillId="0" borderId="71" xfId="0" applyFont="1" applyFill="1" applyBorder="1" applyAlignment="1" applyProtection="1">
      <alignment horizontal="centerContinuous" vertical="center" wrapText="1"/>
    </xf>
    <xf numFmtId="0" fontId="45" fillId="0" borderId="61" xfId="0" applyFont="1" applyFill="1" applyBorder="1" applyAlignment="1" applyProtection="1">
      <alignment horizontal="centerContinuous" wrapText="1"/>
    </xf>
    <xf numFmtId="0" fontId="33" fillId="8" borderId="45" xfId="0" applyFont="1" applyFill="1" applyBorder="1" applyAlignment="1" applyProtection="1">
      <alignment horizontal="centerContinuous" vertical="center" wrapText="1"/>
    </xf>
    <xf numFmtId="0" fontId="33" fillId="8" borderId="21" xfId="0" applyFont="1" applyFill="1" applyBorder="1" applyAlignment="1" applyProtection="1">
      <alignment horizontal="centerContinuous" vertical="center" wrapText="1"/>
    </xf>
    <xf numFmtId="0" fontId="33" fillId="8" borderId="72" xfId="0" applyFont="1" applyFill="1" applyBorder="1" applyAlignment="1" applyProtection="1">
      <alignment horizontal="centerContinuous" vertical="center" wrapText="1"/>
    </xf>
    <xf numFmtId="0" fontId="33" fillId="8" borderId="37" xfId="0" applyFont="1" applyFill="1" applyBorder="1" applyAlignment="1" applyProtection="1">
      <alignment horizontal="centerContinuous" vertical="center" wrapText="1"/>
    </xf>
    <xf numFmtId="0" fontId="33" fillId="8" borderId="73" xfId="0" applyFont="1" applyFill="1" applyBorder="1" applyAlignment="1" applyProtection="1">
      <alignment horizontal="centerContinuous" vertical="center" wrapText="1"/>
    </xf>
    <xf numFmtId="0" fontId="33" fillId="8" borderId="20" xfId="0" applyFont="1" applyFill="1" applyBorder="1" applyAlignment="1" applyProtection="1">
      <alignment horizontal="centerContinuous" vertical="center" wrapText="1"/>
    </xf>
    <xf numFmtId="0" fontId="33" fillId="8" borderId="74" xfId="0" applyFont="1" applyFill="1" applyBorder="1" applyAlignment="1" applyProtection="1">
      <alignment horizontal="centerContinuous" vertical="center" wrapText="1"/>
    </xf>
    <xf numFmtId="0" fontId="33" fillId="8" borderId="75" xfId="0" applyFont="1" applyFill="1" applyBorder="1" applyAlignment="1" applyProtection="1">
      <alignment horizontal="centerContinuous" vertical="center" wrapText="1"/>
    </xf>
    <xf numFmtId="0" fontId="24" fillId="0" borderId="72" xfId="0" applyFont="1" applyFill="1" applyBorder="1" applyAlignment="1" applyProtection="1">
      <alignment horizontal="centerContinuous" vertical="center" wrapText="1"/>
    </xf>
    <xf numFmtId="0" fontId="24" fillId="0" borderId="76" xfId="0" applyFont="1" applyFill="1" applyBorder="1" applyAlignment="1" applyProtection="1">
      <alignment horizontal="centerContinuous" vertical="center" wrapText="1"/>
    </xf>
    <xf numFmtId="0" fontId="24" fillId="8" borderId="54" xfId="0" applyFont="1" applyFill="1" applyBorder="1" applyAlignment="1" applyProtection="1">
      <alignment horizontal="centerContinuous" vertical="center"/>
    </xf>
    <xf numFmtId="0" fontId="24" fillId="8" borderId="72" xfId="0" applyFont="1" applyFill="1" applyBorder="1" applyAlignment="1" applyProtection="1">
      <alignment horizontal="centerContinuous" vertical="center" wrapText="1"/>
    </xf>
    <xf numFmtId="0" fontId="24" fillId="8" borderId="76" xfId="0" applyFont="1" applyFill="1" applyBorder="1" applyAlignment="1" applyProtection="1">
      <alignment horizontal="centerContinuous" vertical="center" wrapText="1"/>
    </xf>
    <xf numFmtId="0" fontId="33" fillId="0" borderId="77" xfId="0" applyFont="1" applyBorder="1" applyAlignment="1" applyProtection="1">
      <alignment horizontal="centerContinuous" vertical="center" wrapText="1"/>
    </xf>
    <xf numFmtId="0" fontId="33" fillId="0" borderId="40" xfId="0" applyFont="1" applyBorder="1" applyAlignment="1" applyProtection="1">
      <alignment horizontal="centerContinuous" vertical="center" wrapText="1"/>
    </xf>
    <xf numFmtId="0" fontId="24" fillId="0" borderId="78" xfId="0" applyFont="1" applyBorder="1" applyAlignment="1" applyProtection="1">
      <alignment horizontal="centerContinuous" vertical="center" wrapText="1"/>
    </xf>
    <xf numFmtId="0" fontId="24" fillId="0" borderId="39" xfId="0" applyFont="1" applyBorder="1" applyAlignment="1" applyProtection="1">
      <alignment horizontal="centerContinuous" vertical="center" wrapText="1"/>
    </xf>
    <xf numFmtId="0" fontId="33" fillId="8" borderId="79" xfId="0" applyFont="1" applyFill="1" applyBorder="1" applyAlignment="1" applyProtection="1">
      <alignment horizontal="centerContinuous" vertical="center" wrapText="1"/>
    </xf>
    <xf numFmtId="0" fontId="33" fillId="8" borderId="34" xfId="0" applyFont="1" applyFill="1" applyBorder="1" applyAlignment="1" applyProtection="1">
      <alignment horizontal="centerContinuous" vertical="center" wrapText="1"/>
    </xf>
    <xf numFmtId="0" fontId="24" fillId="8" borderId="80" xfId="0" applyFont="1" applyFill="1" applyBorder="1" applyAlignment="1" applyProtection="1">
      <alignment horizontal="centerContinuous" vertical="center"/>
    </xf>
    <xf numFmtId="3" fontId="23" fillId="0" borderId="0" xfId="0" applyNumberFormat="1" applyFont="1" applyFill="1" applyBorder="1" applyAlignment="1" applyProtection="1">
      <alignment horizontal="left" vertical="top" wrapText="1"/>
    </xf>
    <xf numFmtId="0" fontId="24" fillId="0" borderId="12" xfId="0" applyFont="1" applyFill="1" applyBorder="1" applyAlignment="1" applyProtection="1">
      <alignment vertical="top" wrapText="1"/>
    </xf>
    <xf numFmtId="0" fontId="2" fillId="0" borderId="16" xfId="0" applyFont="1" applyBorder="1" applyAlignment="1">
      <alignment vertical="top" wrapText="1"/>
    </xf>
    <xf numFmtId="0" fontId="56" fillId="0" borderId="12" xfId="0" applyFont="1" applyFill="1" applyBorder="1" applyAlignment="1" applyProtection="1"/>
    <xf numFmtId="0" fontId="2" fillId="0" borderId="16" xfId="0" applyFont="1" applyBorder="1" applyAlignment="1">
      <alignment wrapText="1"/>
    </xf>
    <xf numFmtId="0" fontId="24" fillId="0" borderId="12" xfId="0" applyFont="1" applyFill="1" applyBorder="1" applyAlignment="1" applyProtection="1">
      <alignment wrapText="1"/>
    </xf>
    <xf numFmtId="0" fontId="27" fillId="0" borderId="12" xfId="0" applyFont="1" applyFill="1" applyBorder="1" applyAlignment="1" applyProtection="1">
      <alignment wrapText="1"/>
    </xf>
    <xf numFmtId="0" fontId="27" fillId="0" borderId="12" xfId="0" applyFont="1" applyFill="1" applyBorder="1" applyAlignment="1" applyProtection="1">
      <alignment vertical="top" wrapText="1"/>
    </xf>
    <xf numFmtId="0" fontId="58" fillId="0" borderId="12" xfId="0" applyFont="1" applyFill="1" applyBorder="1" applyAlignment="1" applyProtection="1">
      <alignment vertical="top" wrapText="1"/>
    </xf>
    <xf numFmtId="2" fontId="24" fillId="0" borderId="6" xfId="0" applyNumberFormat="1" applyFont="1" applyBorder="1" applyAlignment="1" applyProtection="1">
      <alignment horizontal="centerContinuous"/>
    </xf>
    <xf numFmtId="10" fontId="24" fillId="0" borderId="6" xfId="0" applyNumberFormat="1" applyFont="1" applyBorder="1" applyAlignment="1" applyProtection="1">
      <alignment horizontal="centerContinuous"/>
    </xf>
    <xf numFmtId="4" fontId="24" fillId="0" borderId="6" xfId="0" applyNumberFormat="1" applyFont="1" applyBorder="1" applyAlignment="1" applyProtection="1">
      <alignment horizontal="centerContinuous"/>
    </xf>
    <xf numFmtId="0" fontId="24" fillId="0" borderId="12" xfId="0" applyFont="1" applyBorder="1" applyAlignment="1" applyProtection="1"/>
    <xf numFmtId="0" fontId="2" fillId="0" borderId="16" xfId="0" applyFont="1" applyBorder="1" applyAlignment="1"/>
    <xf numFmtId="0" fontId="24" fillId="8" borderId="12" xfId="0" applyFont="1" applyFill="1" applyBorder="1" applyAlignment="1" applyProtection="1">
      <alignment vertical="center" wrapText="1"/>
    </xf>
    <xf numFmtId="0" fontId="2" fillId="8" borderId="16" xfId="0" applyFont="1" applyFill="1" applyBorder="1" applyAlignment="1">
      <alignment vertical="top" wrapText="1"/>
    </xf>
    <xf numFmtId="10" fontId="24" fillId="0" borderId="6" xfId="0" applyNumberFormat="1" applyFont="1" applyFill="1" applyBorder="1" applyAlignment="1">
      <alignment horizontal="centerContinuous"/>
    </xf>
    <xf numFmtId="3" fontId="34" fillId="0" borderId="0" xfId="0" applyNumberFormat="1" applyFont="1" applyFill="1" applyBorder="1" applyAlignment="1">
      <alignment horizontal="centerContinuous" vertical="top" wrapText="1"/>
    </xf>
    <xf numFmtId="0" fontId="23" fillId="0" borderId="18" xfId="0" applyFont="1" applyFill="1" applyBorder="1" applyAlignment="1"/>
    <xf numFmtId="0" fontId="2" fillId="0" borderId="65" xfId="0" applyFont="1" applyBorder="1" applyAlignment="1"/>
    <xf numFmtId="0" fontId="2" fillId="0" borderId="7" xfId="0" applyFont="1" applyBorder="1" applyAlignment="1"/>
    <xf numFmtId="0" fontId="27" fillId="0" borderId="12" xfId="0" applyFont="1" applyFill="1" applyBorder="1" applyAlignment="1"/>
    <xf numFmtId="0" fontId="23" fillId="0" borderId="65" xfId="0" applyFont="1" applyFill="1" applyBorder="1" applyAlignment="1"/>
    <xf numFmtId="0" fontId="23" fillId="0" borderId="7" xfId="0" applyFont="1" applyFill="1" applyBorder="1" applyAlignment="1"/>
    <xf numFmtId="0" fontId="23" fillId="0" borderId="6" xfId="0" applyFont="1" applyFill="1" applyBorder="1" applyAlignment="1">
      <alignment horizontal="center" vertical="top" wrapText="1"/>
    </xf>
    <xf numFmtId="3" fontId="63" fillId="0" borderId="0" xfId="0" applyNumberFormat="1" applyFont="1" applyAlignment="1">
      <alignment horizontal="left" vertical="top"/>
    </xf>
    <xf numFmtId="0" fontId="40" fillId="0" borderId="0" xfId="0" applyFont="1" applyAlignment="1">
      <alignment horizontal="left" vertical="top"/>
    </xf>
    <xf numFmtId="3" fontId="23" fillId="0" borderId="0" xfId="0" applyNumberFormat="1" applyFont="1" applyFill="1" applyBorder="1" applyAlignment="1" applyProtection="1">
      <alignment horizontal="left" vertical="top"/>
    </xf>
    <xf numFmtId="4" fontId="23" fillId="0" borderId="0" xfId="2" applyNumberFormat="1" applyFont="1" applyFill="1" applyBorder="1" applyAlignment="1" applyProtection="1">
      <alignment horizontal="center"/>
    </xf>
    <xf numFmtId="0" fontId="26" fillId="0" borderId="0" xfId="19" applyFont="1" applyAlignment="1" applyProtection="1">
      <alignment horizontal="left" vertical="top" wrapText="1"/>
    </xf>
    <xf numFmtId="0" fontId="26" fillId="0" borderId="0" xfId="0" applyFont="1" applyBorder="1" applyAlignment="1" applyProtection="1">
      <alignment horizontal="left" vertical="top" wrapText="1"/>
    </xf>
    <xf numFmtId="0" fontId="66" fillId="16" borderId="11" xfId="0" applyFont="1" applyFill="1" applyBorder="1" applyAlignment="1" applyProtection="1">
      <alignment vertical="top" wrapText="1"/>
    </xf>
    <xf numFmtId="0" fontId="24" fillId="10" borderId="81" xfId="0" applyFont="1" applyFill="1" applyBorder="1" applyAlignment="1" applyProtection="1">
      <alignment horizontal="center" vertical="center"/>
    </xf>
    <xf numFmtId="3" fontId="23" fillId="9" borderId="19" xfId="19" applyNumberFormat="1" applyFont="1" applyFill="1" applyBorder="1" applyAlignment="1" applyProtection="1">
      <alignment horizontal="right"/>
    </xf>
    <xf numFmtId="0" fontId="23" fillId="0" borderId="6" xfId="0" applyFont="1" applyFill="1" applyBorder="1" applyAlignment="1" applyProtection="1">
      <alignment horizontal="center" vertical="top" wrapText="1"/>
    </xf>
    <xf numFmtId="0" fontId="24" fillId="10" borderId="82" xfId="0" applyFont="1" applyFill="1" applyBorder="1" applyAlignment="1" applyProtection="1">
      <alignment horizontal="center" vertical="center"/>
    </xf>
    <xf numFmtId="0" fontId="53" fillId="0" borderId="0" xfId="0" applyFont="1" applyAlignment="1" applyProtection="1">
      <alignment vertical="top" wrapText="1"/>
    </xf>
    <xf numFmtId="0" fontId="2" fillId="0" borderId="16" xfId="0" applyFont="1" applyFill="1" applyBorder="1" applyAlignment="1">
      <alignment vertical="top" wrapText="1"/>
    </xf>
    <xf numFmtId="0" fontId="2" fillId="0" borderId="65" xfId="0" applyFont="1" applyFill="1" applyBorder="1" applyAlignment="1"/>
    <xf numFmtId="0" fontId="2" fillId="0" borderId="7" xfId="0" applyFont="1" applyFill="1" applyBorder="1" applyAlignment="1"/>
    <xf numFmtId="0" fontId="23" fillId="0" borderId="6" xfId="0" applyFont="1" applyBorder="1" applyProtection="1"/>
    <xf numFmtId="4" fontId="23" fillId="0" borderId="6" xfId="0" applyNumberFormat="1" applyFont="1" applyBorder="1" applyProtection="1"/>
    <xf numFmtId="0" fontId="24" fillId="0" borderId="0" xfId="0" applyFont="1" applyProtection="1"/>
    <xf numFmtId="0" fontId="24" fillId="0" borderId="6" xfId="0" applyFont="1" applyBorder="1" applyProtection="1"/>
    <xf numFmtId="0" fontId="24" fillId="0" borderId="6" xfId="0" applyFont="1" applyBorder="1" applyAlignment="1" applyProtection="1">
      <alignment vertical="top" wrapText="1"/>
    </xf>
    <xf numFmtId="4" fontId="23" fillId="0" borderId="6" xfId="0" applyNumberFormat="1" applyFont="1" applyBorder="1" applyAlignment="1" applyProtection="1">
      <alignment horizontal="right"/>
    </xf>
    <xf numFmtId="4" fontId="24" fillId="0" borderId="6" xfId="0" applyNumberFormat="1" applyFont="1" applyBorder="1" applyAlignment="1" applyProtection="1">
      <alignment vertical="top" wrapText="1"/>
    </xf>
    <xf numFmtId="2" fontId="23" fillId="8" borderId="6" xfId="0" applyNumberFormat="1" applyFont="1" applyFill="1" applyBorder="1" applyProtection="1">
      <protection locked="0"/>
    </xf>
    <xf numFmtId="2" fontId="23" fillId="0" borderId="6" xfId="0" applyNumberFormat="1" applyFont="1" applyBorder="1" applyProtection="1"/>
    <xf numFmtId="179" fontId="24" fillId="0" borderId="6" xfId="0" applyNumberFormat="1" applyFont="1" applyBorder="1" applyAlignment="1" applyProtection="1">
      <alignment horizontal="right"/>
    </xf>
    <xf numFmtId="10" fontId="23" fillId="0" borderId="6" xfId="21" applyNumberFormat="1" applyFont="1" applyBorder="1" applyProtection="1"/>
    <xf numFmtId="10" fontId="24" fillId="0" borderId="6" xfId="21" applyNumberFormat="1" applyFont="1" applyBorder="1" applyProtection="1"/>
    <xf numFmtId="10" fontId="24" fillId="0" borderId="0" xfId="21" applyNumberFormat="1" applyFont="1" applyBorder="1" applyProtection="1"/>
    <xf numFmtId="10" fontId="34" fillId="0" borderId="6" xfId="21" applyNumberFormat="1" applyFont="1" applyFill="1" applyBorder="1" applyAlignment="1">
      <alignment horizontal="right"/>
    </xf>
    <xf numFmtId="10" fontId="34" fillId="0" borderId="6" xfId="0" applyNumberFormat="1" applyFont="1" applyFill="1" applyBorder="1" applyAlignment="1">
      <alignment horizontal="right"/>
    </xf>
    <xf numFmtId="2" fontId="33" fillId="0" borderId="6" xfId="0" applyNumberFormat="1" applyFont="1" applyFill="1" applyBorder="1" applyAlignment="1">
      <alignment horizontal="right"/>
    </xf>
    <xf numFmtId="2" fontId="34" fillId="0" borderId="6" xfId="0" applyNumberFormat="1" applyFont="1" applyFill="1" applyBorder="1" applyAlignment="1">
      <alignment horizontal="right"/>
    </xf>
    <xf numFmtId="10" fontId="33" fillId="0" borderId="6" xfId="21" applyNumberFormat="1" applyFont="1" applyFill="1" applyBorder="1" applyAlignment="1">
      <alignment horizontal="right"/>
    </xf>
    <xf numFmtId="10" fontId="33" fillId="0" borderId="6" xfId="0" applyNumberFormat="1" applyFont="1" applyFill="1" applyBorder="1" applyAlignment="1">
      <alignment horizontal="right"/>
    </xf>
    <xf numFmtId="0" fontId="29" fillId="0" borderId="66" xfId="0" applyFont="1" applyBorder="1" applyAlignment="1" applyProtection="1">
      <alignment horizontal="left" vertical="top"/>
    </xf>
    <xf numFmtId="10" fontId="33" fillId="0" borderId="6" xfId="21" applyNumberFormat="1" applyFont="1" applyFill="1" applyBorder="1" applyAlignment="1">
      <alignment vertical="top" wrapText="1"/>
    </xf>
    <xf numFmtId="0" fontId="24" fillId="0" borderId="65" xfId="0" applyFont="1" applyFill="1" applyBorder="1" applyAlignment="1"/>
    <xf numFmtId="10" fontId="34" fillId="0" borderId="6" xfId="21" applyNumberFormat="1" applyFont="1" applyFill="1" applyBorder="1" applyAlignment="1">
      <alignment vertical="top" wrapText="1"/>
    </xf>
    <xf numFmtId="3" fontId="24" fillId="0" borderId="6" xfId="0" applyNumberFormat="1" applyFont="1" applyFill="1" applyBorder="1" applyAlignment="1"/>
    <xf numFmtId="4" fontId="23" fillId="0" borderId="12" xfId="21" applyNumberFormat="1" applyFont="1" applyFill="1" applyBorder="1" applyAlignment="1">
      <alignment horizontal="center"/>
    </xf>
    <xf numFmtId="4" fontId="23" fillId="0" borderId="19" xfId="21" applyNumberFormat="1" applyFont="1" applyFill="1" applyBorder="1" applyAlignment="1">
      <alignment horizontal="center"/>
    </xf>
    <xf numFmtId="0" fontId="24" fillId="0" borderId="18" xfId="15" applyFont="1" applyFill="1" applyBorder="1" applyAlignment="1">
      <alignment horizontal="center" vertical="center" wrapText="1"/>
    </xf>
    <xf numFmtId="4" fontId="27" fillId="0" borderId="0" xfId="0" applyNumberFormat="1" applyFont="1" applyAlignment="1" applyProtection="1">
      <alignment horizontal="right" vertical="top" wrapText="1"/>
    </xf>
    <xf numFmtId="4" fontId="23" fillId="0" borderId="0" xfId="0" applyNumberFormat="1" applyFont="1" applyAlignment="1" applyProtection="1">
      <alignment horizontal="right" vertical="top" wrapText="1"/>
    </xf>
    <xf numFmtId="0" fontId="29" fillId="0" borderId="0" xfId="0" applyFont="1" applyAlignment="1" applyProtection="1">
      <alignment horizontal="left" vertical="top" wrapText="1"/>
    </xf>
    <xf numFmtId="4" fontId="29" fillId="0" borderId="0" xfId="0" applyNumberFormat="1" applyFont="1" applyAlignment="1" applyProtection="1">
      <alignment horizontal="right" vertical="top" wrapText="1"/>
    </xf>
    <xf numFmtId="0" fontId="24" fillId="0" borderId="0" xfId="0" applyFont="1" applyAlignment="1" applyProtection="1">
      <alignment horizontal="left" vertical="top" wrapText="1"/>
    </xf>
    <xf numFmtId="4" fontId="27" fillId="0" borderId="0" xfId="0" applyNumberFormat="1" applyFont="1" applyAlignment="1" applyProtection="1">
      <alignment vertical="top" wrapText="1"/>
    </xf>
    <xf numFmtId="3" fontId="23" fillId="17" borderId="14" xfId="0" applyNumberFormat="1" applyFont="1" applyFill="1" applyBorder="1" applyAlignment="1" applyProtection="1">
      <alignment horizontal="centerContinuous"/>
      <protection locked="0"/>
    </xf>
    <xf numFmtId="3" fontId="23" fillId="17" borderId="83" xfId="0" applyNumberFormat="1" applyFont="1" applyFill="1" applyBorder="1" applyAlignment="1" applyProtection="1">
      <alignment horizontal="centerContinuous"/>
      <protection locked="0"/>
    </xf>
    <xf numFmtId="3" fontId="23" fillId="17" borderId="16" xfId="0" applyNumberFormat="1" applyFont="1" applyFill="1" applyBorder="1" applyAlignment="1" applyProtection="1">
      <alignment horizontal="centerContinuous"/>
      <protection locked="0"/>
    </xf>
    <xf numFmtId="3" fontId="23" fillId="17" borderId="19" xfId="0" applyNumberFormat="1" applyFont="1" applyFill="1" applyBorder="1" applyAlignment="1" applyProtection="1">
      <alignment horizontal="centerContinuous"/>
      <protection locked="0"/>
    </xf>
    <xf numFmtId="3" fontId="23" fillId="17" borderId="16" xfId="0" applyNumberFormat="1" applyFont="1" applyFill="1" applyBorder="1" applyAlignment="1" applyProtection="1">
      <alignment horizontal="centerContinuous" wrapText="1"/>
      <protection locked="0"/>
    </xf>
    <xf numFmtId="3" fontId="23" fillId="17" borderId="19" xfId="0" applyNumberFormat="1" applyFont="1" applyFill="1" applyBorder="1" applyAlignment="1" applyProtection="1">
      <alignment horizontal="centerContinuous" wrapText="1"/>
      <protection locked="0"/>
    </xf>
    <xf numFmtId="0" fontId="23" fillId="18" borderId="6" xfId="19" applyNumberFormat="1" applyFont="1" applyFill="1" applyBorder="1" applyAlignment="1" applyProtection="1">
      <alignment horizontal="centerContinuous"/>
    </xf>
    <xf numFmtId="0" fontId="23" fillId="18" borderId="6" xfId="19" applyNumberFormat="1" applyFont="1" applyFill="1" applyBorder="1" applyAlignment="1" applyProtection="1">
      <alignment horizontal="centerContinuous"/>
      <protection locked="0"/>
    </xf>
    <xf numFmtId="3" fontId="23" fillId="17" borderId="9" xfId="0" applyNumberFormat="1" applyFont="1" applyFill="1" applyBorder="1" applyAlignment="1" applyProtection="1">
      <alignment horizontal="right"/>
      <protection locked="0"/>
    </xf>
    <xf numFmtId="0" fontId="23" fillId="18" borderId="6" xfId="19" applyNumberFormat="1" applyFont="1" applyFill="1" applyBorder="1" applyAlignment="1" applyProtection="1">
      <alignment horizontal="center"/>
    </xf>
    <xf numFmtId="3" fontId="23" fillId="17" borderId="84" xfId="15" applyNumberFormat="1" applyFont="1" applyFill="1" applyBorder="1" applyAlignment="1" applyProtection="1">
      <alignment horizontal="right"/>
      <protection locked="0"/>
    </xf>
    <xf numFmtId="3" fontId="23" fillId="17" borderId="10" xfId="15" applyNumberFormat="1" applyFont="1" applyFill="1" applyBorder="1" applyAlignment="1" applyProtection="1">
      <alignment horizontal="right"/>
      <protection locked="0"/>
    </xf>
    <xf numFmtId="3" fontId="30" fillId="18" borderId="6" xfId="0" applyNumberFormat="1" applyFont="1" applyFill="1" applyBorder="1" applyAlignment="1" applyProtection="1">
      <protection locked="0"/>
    </xf>
    <xf numFmtId="3" fontId="23" fillId="17" borderId="6" xfId="0" applyNumberFormat="1" applyFont="1" applyFill="1" applyBorder="1" applyAlignment="1" applyProtection="1">
      <alignment horizontal="right"/>
      <protection locked="0"/>
    </xf>
    <xf numFmtId="3" fontId="23" fillId="17" borderId="12" xfId="2" applyNumberFormat="1" applyFont="1" applyFill="1" applyBorder="1" applyAlignment="1" applyProtection="1">
      <alignment horizontal="centerContinuous"/>
    </xf>
    <xf numFmtId="3" fontId="23" fillId="17" borderId="16" xfId="2" applyNumberFormat="1" applyFont="1" applyFill="1" applyBorder="1" applyAlignment="1" applyProtection="1">
      <alignment horizontal="centerContinuous"/>
    </xf>
    <xf numFmtId="3" fontId="23" fillId="17" borderId="19" xfId="2" applyNumberFormat="1" applyFont="1" applyFill="1" applyBorder="1" applyAlignment="1" applyProtection="1">
      <alignment horizontal="centerContinuous"/>
    </xf>
    <xf numFmtId="3" fontId="23" fillId="17" borderId="12" xfId="0" applyNumberFormat="1" applyFont="1" applyFill="1" applyBorder="1" applyAlignment="1" applyProtection="1">
      <alignment horizontal="centerContinuous" vertical="center"/>
      <protection locked="0"/>
    </xf>
    <xf numFmtId="3" fontId="23" fillId="17" borderId="16" xfId="0" applyNumberFormat="1" applyFont="1" applyFill="1" applyBorder="1" applyAlignment="1" applyProtection="1">
      <alignment horizontal="centerContinuous" vertical="center"/>
      <protection locked="0"/>
    </xf>
    <xf numFmtId="3" fontId="23" fillId="17" borderId="19" xfId="0" applyNumberFormat="1" applyFont="1" applyFill="1" applyBorder="1" applyAlignment="1" applyProtection="1">
      <alignment horizontal="centerContinuous" vertical="center"/>
      <protection locked="0"/>
    </xf>
    <xf numFmtId="2" fontId="30" fillId="18" borderId="6" xfId="0" applyNumberFormat="1" applyFont="1" applyFill="1" applyBorder="1" applyAlignment="1" applyProtection="1">
      <protection locked="0"/>
    </xf>
    <xf numFmtId="2" fontId="23" fillId="18" borderId="6" xfId="19" applyNumberFormat="1" applyFont="1" applyFill="1" applyBorder="1" applyAlignment="1" applyProtection="1">
      <alignment horizontal="right"/>
      <protection locked="0"/>
    </xf>
    <xf numFmtId="0" fontId="23" fillId="18" borderId="18" xfId="19" applyNumberFormat="1" applyFont="1" applyFill="1" applyBorder="1" applyAlignment="1" applyProtection="1">
      <alignment horizontal="right"/>
      <protection locked="0"/>
    </xf>
    <xf numFmtId="3" fontId="23" fillId="18" borderId="6" xfId="19" applyNumberFormat="1" applyFont="1" applyFill="1" applyBorder="1" applyAlignment="1" applyProtection="1">
      <alignment horizontal="right"/>
      <protection locked="0"/>
    </xf>
    <xf numFmtId="9" fontId="23" fillId="18" borderId="18" xfId="19" applyNumberFormat="1" applyFont="1" applyFill="1" applyBorder="1" applyAlignment="1" applyProtection="1">
      <alignment horizontal="right"/>
      <protection locked="0"/>
    </xf>
    <xf numFmtId="10" fontId="23" fillId="18" borderId="7" xfId="19" applyNumberFormat="1" applyFont="1" applyFill="1" applyBorder="1" applyAlignment="1" applyProtection="1">
      <protection locked="0"/>
    </xf>
    <xf numFmtId="0" fontId="23" fillId="18" borderId="6" xfId="0" applyFont="1" applyFill="1" applyBorder="1" applyAlignment="1" applyProtection="1">
      <alignment vertical="top" wrapText="1"/>
    </xf>
    <xf numFmtId="9" fontId="23" fillId="19" borderId="6" xfId="21" applyFont="1" applyFill="1" applyBorder="1" applyAlignment="1" applyProtection="1">
      <alignment horizontal="right"/>
      <protection locked="0"/>
    </xf>
    <xf numFmtId="0" fontId="30" fillId="18" borderId="6" xfId="0" applyFont="1" applyFill="1" applyBorder="1" applyAlignment="1" applyProtection="1">
      <alignment vertical="top" wrapText="1"/>
    </xf>
    <xf numFmtId="0" fontId="24" fillId="18" borderId="6" xfId="0" applyFont="1" applyFill="1" applyBorder="1" applyAlignment="1" applyProtection="1">
      <alignment horizontal="center" vertical="center"/>
    </xf>
    <xf numFmtId="3" fontId="30" fillId="18" borderId="6" xfId="0" applyNumberFormat="1" applyFont="1" applyFill="1" applyBorder="1" applyAlignment="1" applyProtection="1">
      <alignment horizontal="right"/>
      <protection locked="0"/>
    </xf>
    <xf numFmtId="10" fontId="30" fillId="18" borderId="6" xfId="21" applyNumberFormat="1" applyFont="1" applyFill="1" applyBorder="1" applyAlignment="1" applyProtection="1">
      <protection locked="0"/>
    </xf>
    <xf numFmtId="3" fontId="23" fillId="17" borderId="6" xfId="0" applyNumberFormat="1" applyFont="1" applyFill="1" applyBorder="1" applyAlignment="1" applyProtection="1">
      <alignment horizontal="centerContinuous" vertical="center"/>
    </xf>
    <xf numFmtId="10" fontId="23" fillId="18" borderId="6" xfId="19" applyNumberFormat="1" applyFont="1" applyFill="1" applyBorder="1" applyAlignment="1" applyProtection="1">
      <protection locked="0"/>
    </xf>
    <xf numFmtId="10" fontId="23" fillId="18" borderId="6" xfId="0" applyNumberFormat="1" applyFont="1" applyFill="1" applyBorder="1" applyAlignment="1" applyProtection="1">
      <alignment vertical="top" wrapText="1"/>
      <protection locked="0"/>
    </xf>
    <xf numFmtId="0" fontId="23" fillId="18" borderId="10" xfId="0" applyFont="1" applyFill="1" applyBorder="1" applyAlignment="1" applyProtection="1">
      <alignment vertical="top" wrapText="1"/>
      <protection locked="0"/>
    </xf>
    <xf numFmtId="3" fontId="23" fillId="17" borderId="10" xfId="0" applyNumberFormat="1" applyFont="1" applyFill="1" applyBorder="1" applyAlignment="1" applyProtection="1">
      <alignment horizontal="right"/>
      <protection locked="0"/>
    </xf>
    <xf numFmtId="0" fontId="23" fillId="17" borderId="10" xfId="0" applyFont="1" applyFill="1" applyBorder="1" applyAlignment="1" applyProtection="1">
      <alignment vertical="top" wrapText="1"/>
      <protection locked="0"/>
    </xf>
    <xf numFmtId="0" fontId="23" fillId="17" borderId="10" xfId="0" quotePrefix="1" applyFont="1" applyFill="1" applyBorder="1" applyAlignment="1" applyProtection="1">
      <alignment vertical="top" wrapText="1"/>
      <protection locked="0"/>
    </xf>
    <xf numFmtId="10" fontId="23" fillId="18" borderId="6" xfId="21" applyNumberFormat="1" applyFont="1" applyFill="1" applyBorder="1" applyAlignment="1" applyProtection="1">
      <protection locked="0"/>
    </xf>
    <xf numFmtId="4" fontId="23" fillId="18" borderId="6" xfId="19" applyNumberFormat="1" applyFont="1" applyFill="1" applyBorder="1" applyAlignment="1" applyProtection="1">
      <protection locked="0"/>
    </xf>
    <xf numFmtId="3" fontId="23" fillId="18" borderId="6" xfId="0" applyNumberFormat="1" applyFont="1" applyFill="1" applyBorder="1" applyAlignment="1" applyProtection="1">
      <protection locked="0"/>
    </xf>
    <xf numFmtId="0" fontId="42" fillId="0" borderId="6" xfId="0" applyFont="1" applyFill="1" applyBorder="1" applyAlignment="1" applyProtection="1">
      <alignment vertical="top" wrapText="1"/>
    </xf>
    <xf numFmtId="3" fontId="42" fillId="18" borderId="6" xfId="0" applyNumberFormat="1" applyFont="1" applyFill="1" applyBorder="1" applyAlignment="1" applyProtection="1">
      <protection locked="0"/>
    </xf>
    <xf numFmtId="4" fontId="42" fillId="18" borderId="6" xfId="19" applyNumberFormat="1" applyFont="1" applyFill="1" applyBorder="1" applyAlignment="1" applyProtection="1">
      <protection locked="0"/>
    </xf>
    <xf numFmtId="3" fontId="24" fillId="19" borderId="6" xfId="2" applyNumberFormat="1" applyFont="1" applyFill="1" applyBorder="1" applyAlignment="1" applyProtection="1">
      <alignment horizontal="right"/>
      <protection locked="0"/>
    </xf>
    <xf numFmtId="3" fontId="23" fillId="18" borderId="6" xfId="0" applyNumberFormat="1" applyFont="1" applyFill="1" applyBorder="1" applyAlignment="1" applyProtection="1">
      <alignment horizontal="right"/>
      <protection locked="0"/>
    </xf>
    <xf numFmtId="172" fontId="24" fillId="18" borderId="6" xfId="4" applyNumberFormat="1" applyFont="1" applyFill="1" applyBorder="1" applyAlignment="1" applyProtection="1">
      <alignment horizontal="right" wrapText="1"/>
      <protection locked="0"/>
    </xf>
    <xf numFmtId="3" fontId="24" fillId="19" borderId="6" xfId="3" applyNumberFormat="1" applyFont="1" applyFill="1" applyBorder="1" applyAlignment="1" applyProtection="1">
      <alignment horizontal="right"/>
      <protection locked="0"/>
    </xf>
    <xf numFmtId="3" fontId="53" fillId="18" borderId="6" xfId="0" applyNumberFormat="1" applyFont="1" applyFill="1" applyBorder="1" applyAlignment="1" applyProtection="1">
      <alignment horizontal="right"/>
      <protection locked="0"/>
    </xf>
    <xf numFmtId="2" fontId="23" fillId="18" borderId="6" xfId="0" applyNumberFormat="1" applyFont="1" applyFill="1" applyBorder="1" applyAlignment="1" applyProtection="1">
      <alignment vertical="top" wrapText="1"/>
      <protection locked="0"/>
    </xf>
    <xf numFmtId="4" fontId="30" fillId="18" borderId="6" xfId="15" applyNumberFormat="1" applyFont="1" applyFill="1" applyBorder="1" applyAlignment="1" applyProtection="1">
      <protection locked="0"/>
    </xf>
    <xf numFmtId="4" fontId="30" fillId="18" borderId="6" xfId="0" applyNumberFormat="1" applyFont="1" applyFill="1" applyBorder="1" applyAlignment="1" applyProtection="1">
      <protection locked="0"/>
    </xf>
    <xf numFmtId="3" fontId="23" fillId="9" borderId="6" xfId="0" applyNumberFormat="1" applyFont="1" applyFill="1" applyBorder="1" applyAlignment="1" applyProtection="1">
      <protection locked="0"/>
    </xf>
    <xf numFmtId="0" fontId="23" fillId="3" borderId="0" xfId="0" applyFont="1" applyFill="1" applyAlignment="1" applyProtection="1">
      <alignment horizontal="center" vertical="top" wrapText="1"/>
    </xf>
    <xf numFmtId="165" fontId="23" fillId="17" borderId="6" xfId="0" applyNumberFormat="1" applyFont="1" applyFill="1" applyBorder="1" applyAlignment="1" applyProtection="1">
      <alignment horizontal="right"/>
      <protection locked="0"/>
    </xf>
    <xf numFmtId="4" fontId="23" fillId="18" borderId="6" xfId="2" applyNumberFormat="1" applyFont="1" applyFill="1" applyBorder="1" applyAlignment="1" applyProtection="1">
      <alignment horizontal="right"/>
      <protection locked="0"/>
    </xf>
    <xf numFmtId="0" fontId="23" fillId="18" borderId="6" xfId="0" applyFont="1" applyFill="1" applyBorder="1" applyAlignment="1" applyProtection="1">
      <alignment vertical="top" wrapText="1"/>
      <protection locked="0"/>
    </xf>
    <xf numFmtId="4" fontId="24" fillId="0" borderId="0" xfId="0" applyNumberFormat="1" applyFont="1" applyAlignment="1" applyProtection="1">
      <alignment horizontal="right" vertical="top" wrapText="1"/>
    </xf>
    <xf numFmtId="10" fontId="27" fillId="0" borderId="0" xfId="21" applyNumberFormat="1" applyFont="1" applyAlignment="1" applyProtection="1">
      <alignment vertical="top" wrapText="1"/>
    </xf>
    <xf numFmtId="3" fontId="23" fillId="18" borderId="6" xfId="19" applyNumberFormat="1" applyFont="1" applyFill="1" applyBorder="1" applyAlignment="1" applyProtection="1">
      <protection locked="0"/>
    </xf>
    <xf numFmtId="3" fontId="42" fillId="18" borderId="6" xfId="19" applyNumberFormat="1" applyFont="1" applyFill="1" applyBorder="1" applyAlignment="1" applyProtection="1">
      <protection locked="0"/>
    </xf>
    <xf numFmtId="0" fontId="24" fillId="20" borderId="0" xfId="0" applyFont="1" applyFill="1" applyBorder="1" applyAlignment="1" applyProtection="1">
      <alignment vertical="top" wrapText="1"/>
    </xf>
    <xf numFmtId="164" fontId="24" fillId="20" borderId="0" xfId="4" applyNumberFormat="1" applyFont="1" applyFill="1" applyBorder="1" applyAlignment="1" applyProtection="1">
      <alignment vertical="top" wrapText="1"/>
    </xf>
    <xf numFmtId="173" fontId="24" fillId="20" borderId="0" xfId="4" applyNumberFormat="1" applyFont="1" applyFill="1" applyBorder="1" applyAlignment="1" applyProtection="1">
      <alignment vertical="top" wrapText="1"/>
    </xf>
    <xf numFmtId="3" fontId="27" fillId="0" borderId="0" xfId="0" applyNumberFormat="1" applyFont="1" applyAlignment="1" applyProtection="1">
      <alignment horizontal="right" vertical="top" wrapText="1"/>
    </xf>
    <xf numFmtId="3" fontId="24" fillId="0" borderId="0" xfId="0" applyNumberFormat="1" applyFont="1" applyAlignment="1" applyProtection="1">
      <alignment horizontal="right" vertical="top" wrapText="1"/>
    </xf>
    <xf numFmtId="3" fontId="27" fillId="0" borderId="0" xfId="0" applyNumberFormat="1" applyFont="1" applyAlignment="1" applyProtection="1">
      <alignment vertical="top" wrapText="1"/>
    </xf>
    <xf numFmtId="0" fontId="29" fillId="0" borderId="0" xfId="0" applyFont="1" applyAlignment="1" applyProtection="1">
      <alignment vertical="top" wrapText="1"/>
    </xf>
    <xf numFmtId="3" fontId="23" fillId="18" borderId="6" xfId="2" applyNumberFormat="1" applyFont="1" applyFill="1" applyBorder="1" applyAlignment="1" applyProtection="1">
      <alignment horizontal="right"/>
      <protection locked="0"/>
    </xf>
    <xf numFmtId="0" fontId="67" fillId="0" borderId="0" xfId="0" applyNumberFormat="1" applyFont="1" applyAlignment="1">
      <alignment vertical="top" wrapText="1"/>
    </xf>
    <xf numFmtId="0" fontId="2" fillId="0" borderId="0" xfId="0" applyNumberFormat="1" applyFont="1" applyAlignment="1">
      <alignment vertical="top" wrapText="1"/>
    </xf>
    <xf numFmtId="0" fontId="2" fillId="0" borderId="86" xfId="0" applyNumberFormat="1" applyFont="1" applyBorder="1" applyAlignment="1">
      <alignment vertical="top" wrapText="1"/>
    </xf>
    <xf numFmtId="0" fontId="2" fillId="0" borderId="85" xfId="0" applyNumberFormat="1" applyFont="1" applyBorder="1" applyAlignment="1">
      <alignment vertical="top" wrapText="1"/>
    </xf>
    <xf numFmtId="0" fontId="2" fillId="0" borderId="89" xfId="0" applyNumberFormat="1" applyFont="1" applyBorder="1" applyAlignment="1">
      <alignment vertical="top" wrapText="1"/>
    </xf>
    <xf numFmtId="0" fontId="2" fillId="0" borderId="88" xfId="0" applyNumberFormat="1" applyFont="1" applyBorder="1" applyAlignment="1">
      <alignment vertical="top" wrapText="1"/>
    </xf>
    <xf numFmtId="0" fontId="67" fillId="0" borderId="0" xfId="0" applyNumberFormat="1" applyFont="1" applyAlignment="1">
      <alignment horizontal="center" vertical="top" wrapText="1"/>
    </xf>
    <xf numFmtId="0" fontId="2" fillId="0" borderId="0" xfId="0" applyNumberFormat="1" applyFont="1" applyAlignment="1">
      <alignment horizontal="center" vertical="top" wrapText="1"/>
    </xf>
    <xf numFmtId="0" fontId="2" fillId="0" borderId="85" xfId="0" applyNumberFormat="1" applyFont="1" applyBorder="1" applyAlignment="1">
      <alignment horizontal="center" vertical="top" wrapText="1"/>
    </xf>
    <xf numFmtId="0" fontId="2" fillId="0" borderId="87" xfId="0" applyNumberFormat="1" applyFont="1" applyBorder="1" applyAlignment="1">
      <alignment horizontal="center" vertical="top" wrapText="1"/>
    </xf>
    <xf numFmtId="0" fontId="2" fillId="0" borderId="88" xfId="0" applyNumberFormat="1" applyFont="1" applyBorder="1" applyAlignment="1">
      <alignment horizontal="center" vertical="top" wrapText="1"/>
    </xf>
    <xf numFmtId="0" fontId="68" fillId="0" borderId="88" xfId="43" quotePrefix="1" applyNumberFormat="1" applyBorder="1" applyAlignment="1">
      <alignment horizontal="center" vertical="top" wrapText="1"/>
    </xf>
    <xf numFmtId="0" fontId="2" fillId="0" borderId="90" xfId="0" applyNumberFormat="1" applyFont="1" applyBorder="1" applyAlignment="1">
      <alignment horizontal="center" vertical="top" wrapText="1"/>
    </xf>
    <xf numFmtId="0" fontId="23" fillId="0" borderId="12" xfId="0" applyFont="1" applyFill="1" applyBorder="1" applyAlignment="1" applyProtection="1">
      <alignment vertical="top" wrapText="1"/>
    </xf>
    <xf numFmtId="0" fontId="2" fillId="0" borderId="16" xfId="0" applyFont="1" applyBorder="1" applyAlignment="1">
      <alignment vertical="top" wrapText="1"/>
    </xf>
    <xf numFmtId="0" fontId="27" fillId="0" borderId="12" xfId="0" applyFont="1" applyFill="1" applyBorder="1" applyAlignment="1" applyProtection="1">
      <alignment vertical="top"/>
    </xf>
    <xf numFmtId="0" fontId="2" fillId="0" borderId="16" xfId="0" applyFont="1" applyBorder="1" applyAlignment="1">
      <alignment vertical="top"/>
    </xf>
    <xf numFmtId="0" fontId="23" fillId="0" borderId="12" xfId="0" applyFont="1" applyBorder="1" applyAlignment="1" applyProtection="1">
      <alignment vertical="top"/>
    </xf>
    <xf numFmtId="0" fontId="23" fillId="0" borderId="16" xfId="0" applyFont="1" applyBorder="1" applyAlignment="1" applyProtection="1">
      <alignment vertical="top"/>
    </xf>
    <xf numFmtId="0" fontId="27" fillId="0" borderId="12" xfId="0" applyFont="1" applyFill="1" applyBorder="1" applyAlignment="1" applyProtection="1">
      <alignment vertical="top" wrapText="1"/>
    </xf>
    <xf numFmtId="0" fontId="23" fillId="0" borderId="12" xfId="0" applyFont="1" applyBorder="1" applyAlignment="1" applyProtection="1">
      <alignment vertical="top" wrapText="1"/>
    </xf>
    <xf numFmtId="0" fontId="23" fillId="0" borderId="16" xfId="0" applyFont="1" applyBorder="1" applyAlignment="1" applyProtection="1">
      <alignment vertical="top" wrapText="1"/>
    </xf>
    <xf numFmtId="0" fontId="24" fillId="0" borderId="17" xfId="0" applyFont="1" applyBorder="1" applyAlignment="1" applyProtection="1">
      <alignment vertical="top"/>
    </xf>
    <xf numFmtId="0" fontId="2" fillId="0" borderId="17" xfId="0" applyFont="1" applyBorder="1" applyAlignment="1">
      <alignment vertical="top"/>
    </xf>
    <xf numFmtId="0" fontId="24" fillId="0" borderId="0" xfId="0" applyFont="1" applyAlignment="1" applyProtection="1">
      <alignment vertical="top"/>
    </xf>
    <xf numFmtId="0" fontId="2" fillId="0" borderId="0" xfId="0" applyFont="1" applyAlignment="1">
      <alignment vertical="top"/>
    </xf>
    <xf numFmtId="0" fontId="23" fillId="0" borderId="12" xfId="0" applyFont="1" applyFill="1" applyBorder="1" applyAlignment="1" applyProtection="1">
      <alignment vertical="top"/>
    </xf>
    <xf numFmtId="0" fontId="36" fillId="3" borderId="66" xfId="0" applyFont="1" applyFill="1" applyBorder="1" applyAlignment="1" applyProtection="1">
      <alignment horizontal="center" vertical="top" wrapText="1"/>
    </xf>
    <xf numFmtId="0" fontId="2" fillId="0" borderId="0" xfId="0" applyFont="1" applyAlignment="1">
      <alignment vertical="top" wrapText="1"/>
    </xf>
    <xf numFmtId="0" fontId="27" fillId="0" borderId="12" xfId="0" applyFont="1" applyFill="1" applyBorder="1" applyAlignment="1"/>
    <xf numFmtId="0" fontId="23" fillId="0" borderId="18" xfId="0" applyFont="1" applyFill="1" applyBorder="1" applyAlignment="1"/>
    <xf numFmtId="0" fontId="2" fillId="0" borderId="65" xfId="0" applyFont="1" applyFill="1" applyBorder="1" applyAlignment="1"/>
    <xf numFmtId="0" fontId="2" fillId="0" borderId="7" xfId="0" applyFont="1" applyFill="1" applyBorder="1" applyAlignment="1"/>
  </cellXfs>
  <cellStyles count="44">
    <cellStyle name="Bad" xfId="1" builtinId="27" customBuiltin="1"/>
    <cellStyle name="Calculation" xfId="2" builtinId="22" customBuiltin="1"/>
    <cellStyle name="Calculation 2" xfId="3"/>
    <cellStyle name="Comma" xfId="4" builtinId="3"/>
    <cellStyle name="Heading 1" xfId="5" builtinId="16" customBuiltin="1"/>
    <cellStyle name="Heading 2" xfId="6" builtinId="17" customBuiltin="1"/>
    <cellStyle name="Heading 3" xfId="7" builtinId="18" customBuiltin="1"/>
    <cellStyle name="Heading 4" xfId="8" builtinId="19" customBuiltin="1"/>
    <cellStyle name="Heading2" xfId="9"/>
    <cellStyle name="Heading3" xfId="10"/>
    <cellStyle name="Heading4" xfId="11"/>
    <cellStyle name="Heading5" xfId="12"/>
    <cellStyle name="Heading6" xfId="13"/>
    <cellStyle name="Hyperlink" xfId="43" builtinId="8"/>
    <cellStyle name="Neutral" xfId="14" builtinId="28" customBuiltin="1"/>
    <cellStyle name="Normal" xfId="0" builtinId="0"/>
    <cellStyle name="Normal 2" xfId="15"/>
    <cellStyle name="Normal 3" xfId="16"/>
    <cellStyle name="Normal 4" xfId="17"/>
    <cellStyle name="Normal_Austrumlatvija 3(invest)_25-12-04" xfId="18"/>
    <cellStyle name="Note" xfId="19" builtinId="10" customBuiltin="1"/>
    <cellStyle name="Output" xfId="20" builtinId="21" customBuiltin="1"/>
    <cellStyle name="Percent" xfId="21" builtinId="5"/>
    <cellStyle name="Percent 2" xfId="22"/>
    <cellStyle name="Percent 4" xfId="23"/>
    <cellStyle name="TAB01" xfId="24"/>
    <cellStyle name="TAB01Centrs" xfId="25"/>
    <cellStyle name="TAB02" xfId="26"/>
    <cellStyle name="TAB03" xfId="27"/>
    <cellStyle name="TAB04" xfId="28"/>
    <cellStyle name="TAB041" xfId="29"/>
    <cellStyle name="TAB04Left" xfId="30"/>
    <cellStyle name="TAB04Plāns" xfId="31"/>
    <cellStyle name="TAB04Projekts" xfId="32"/>
    <cellStyle name="TAB04Vēsture" xfId="33"/>
    <cellStyle name="TAB05" xfId="34"/>
    <cellStyle name="TAB051" xfId="35"/>
    <cellStyle name="TAB05Vēsture" xfId="36"/>
    <cellStyle name="Table content" xfId="37"/>
    <cellStyle name="Tabulas" xfId="38"/>
    <cellStyle name="Tabulas virsraksts" xfId="39"/>
    <cellStyle name="Title" xfId="40" builtinId="15" customBuiltin="1"/>
    <cellStyle name="Total" xfId="41" builtinId="25" customBuiltin="1"/>
    <cellStyle name="Virsraksts" xfId="4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950E"/>
      <rgbColor rgb="00666699"/>
      <rgbColor rgb="00969696"/>
      <rgbColor rgb="00003366"/>
      <rgbColor rgb="00339966"/>
      <rgbColor rgb="00003300"/>
      <rgbColor rgb="001A1A1A"/>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esturs/Documents/PF/Dobeles%20&#363;dens/GALA/1.versija/Izmaksu_ieguvumu%20anal&#299;z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u ievade"/>
      <sheetName val="gadu šķirošana"/>
      <sheetName val="Kopējie pieņēmumi"/>
      <sheetName val="Aprēķini"/>
      <sheetName val="Paskaidrojumi aprēķiniem"/>
      <sheetName val="Līdzfinansējums"/>
      <sheetName val="Naudas plūsma"/>
      <sheetName val="Saimnieciskas pamatdarbibas NP"/>
      <sheetName val="Ilgtermina saistibas"/>
      <sheetName val="Iedzivotaju maksatspeja"/>
      <sheetName val="Projekta naudas plūsma"/>
      <sheetName val="Ekonomiskā analīze"/>
      <sheetName val="Jutīguma analīze_IIA"/>
      <sheetName val="Jutīguma analīze_EA"/>
      <sheetName val="Kritērij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06"/>
  <sheetViews>
    <sheetView showGridLines="0" topLeftCell="A205" zoomScale="85" workbookViewId="0">
      <selection activeCell="L220" sqref="L220"/>
    </sheetView>
  </sheetViews>
  <sheetFormatPr defaultRowHeight="12.75" x14ac:dyDescent="0.2"/>
  <cols>
    <col min="1" max="1" width="68" style="9" customWidth="1"/>
    <col min="2" max="11" width="10.7109375" style="9" customWidth="1"/>
    <col min="12" max="12" width="12.28515625" style="9" bestFit="1" customWidth="1"/>
    <col min="13" max="33" width="10.7109375" style="9" customWidth="1"/>
    <col min="34" max="34" width="9.28515625" style="9" customWidth="1"/>
    <col min="35" max="35" width="22.42578125" style="9" customWidth="1"/>
    <col min="36" max="36" width="9.28515625" style="9" customWidth="1"/>
    <col min="37" max="38" width="9.140625" style="9"/>
    <col min="39" max="39" width="14.85546875" style="9" customWidth="1"/>
    <col min="40" max="16384" width="9.140625" style="9"/>
  </cols>
  <sheetData>
    <row r="1" spans="1:35" ht="19.5" x14ac:dyDescent="0.2">
      <c r="A1" s="492" t="str">
        <f>B12</f>
        <v>SIA "Dobeles Ūdens"</v>
      </c>
    </row>
    <row r="2" spans="1:35" ht="18" x14ac:dyDescent="0.2">
      <c r="A2" s="645" t="str">
        <f>B13</f>
        <v>"Kanalizācijas tīklu paplašināšana Dobeles aglomerācijā" II kārta</v>
      </c>
    </row>
    <row r="3" spans="1:35" ht="19.5" x14ac:dyDescent="0.2">
      <c r="A3" s="8" t="s">
        <v>213</v>
      </c>
      <c r="D3" s="10"/>
      <c r="E3" s="5"/>
      <c r="H3" s="6"/>
      <c r="AI3" s="747" t="s">
        <v>215</v>
      </c>
    </row>
    <row r="4" spans="1:35" ht="15" x14ac:dyDescent="0.2">
      <c r="A4" s="649"/>
      <c r="B4" s="594"/>
      <c r="C4" s="594"/>
      <c r="D4" s="594"/>
      <c r="E4" s="594"/>
      <c r="AI4" s="747" t="s">
        <v>217</v>
      </c>
    </row>
    <row r="5" spans="1:35" ht="18" customHeight="1" x14ac:dyDescent="0.2">
      <c r="A5" s="6" t="s">
        <v>214</v>
      </c>
      <c r="B5" s="594"/>
      <c r="C5" s="594"/>
      <c r="D5" s="594"/>
      <c r="E5" s="594"/>
      <c r="AI5" s="747" t="s">
        <v>219</v>
      </c>
    </row>
    <row r="6" spans="1:35" ht="15" x14ac:dyDescent="0.2">
      <c r="A6" s="702"/>
      <c r="B6" s="23" t="s">
        <v>216</v>
      </c>
      <c r="C6" s="594"/>
      <c r="D6" s="594"/>
      <c r="E6" s="594"/>
      <c r="AI6" s="747" t="s">
        <v>220</v>
      </c>
    </row>
    <row r="7" spans="1:35" ht="15.75" customHeight="1" x14ac:dyDescent="0.2">
      <c r="A7" s="24"/>
      <c r="B7" s="23" t="s">
        <v>218</v>
      </c>
      <c r="C7" s="594"/>
      <c r="D7" s="594"/>
      <c r="E7" s="594"/>
      <c r="AI7" s="747" t="s">
        <v>221</v>
      </c>
    </row>
    <row r="8" spans="1:35" ht="18" customHeight="1" x14ac:dyDescent="0.2">
      <c r="A8" s="594"/>
      <c r="B8" s="594"/>
      <c r="C8" s="594"/>
      <c r="D8" s="594"/>
      <c r="E8" s="594"/>
      <c r="I8" s="23"/>
      <c r="AI8" s="747" t="s">
        <v>222</v>
      </c>
    </row>
    <row r="9" spans="1:35" ht="15" x14ac:dyDescent="0.2">
      <c r="A9" s="25"/>
      <c r="I9" s="23"/>
      <c r="AI9" s="747" t="s">
        <v>223</v>
      </c>
    </row>
    <row r="10" spans="1:35" x14ac:dyDescent="0.2">
      <c r="A10" s="26" t="s">
        <v>224</v>
      </c>
      <c r="B10" s="590" t="s">
        <v>225</v>
      </c>
      <c r="C10" s="590"/>
      <c r="D10" s="590"/>
      <c r="E10" s="590"/>
      <c r="F10" s="590"/>
      <c r="G10" s="590"/>
      <c r="AI10" s="747" t="s">
        <v>226</v>
      </c>
    </row>
    <row r="11" spans="1:35" x14ac:dyDescent="0.2">
      <c r="A11" s="590" t="s">
        <v>227</v>
      </c>
      <c r="B11" s="590"/>
      <c r="C11" s="590"/>
      <c r="D11" s="590"/>
      <c r="E11" s="590"/>
      <c r="F11" s="590"/>
      <c r="G11" s="590"/>
    </row>
    <row r="12" spans="1:35" ht="14.25" customHeight="1" x14ac:dyDescent="0.2">
      <c r="A12" s="27" t="s">
        <v>228</v>
      </c>
      <c r="B12" s="693" t="s">
        <v>229</v>
      </c>
      <c r="C12" s="693"/>
      <c r="D12" s="693"/>
      <c r="E12" s="693"/>
      <c r="F12" s="693"/>
      <c r="G12" s="694"/>
      <c r="H12" s="588"/>
      <c r="T12" s="28"/>
      <c r="U12" s="28"/>
      <c r="V12" s="28"/>
      <c r="W12" s="28"/>
      <c r="X12" s="28"/>
      <c r="Y12" s="28"/>
      <c r="Z12" s="28"/>
      <c r="AA12" s="28"/>
      <c r="AB12" s="28"/>
      <c r="AC12" s="28"/>
      <c r="AD12" s="28"/>
      <c r="AE12" s="28"/>
      <c r="AF12" s="28"/>
      <c r="AG12" s="28"/>
    </row>
    <row r="13" spans="1:35" ht="14.25" customHeight="1" x14ac:dyDescent="0.2">
      <c r="A13" s="30" t="s">
        <v>230</v>
      </c>
      <c r="B13" s="695" t="s">
        <v>97</v>
      </c>
      <c r="C13" s="695"/>
      <c r="D13" s="695"/>
      <c r="E13" s="695"/>
      <c r="F13" s="695"/>
      <c r="G13" s="696"/>
      <c r="H13" s="587"/>
      <c r="I13" s="588"/>
      <c r="J13" s="588"/>
      <c r="V13" s="28"/>
      <c r="W13" s="28"/>
      <c r="X13" s="28"/>
      <c r="Y13" s="28"/>
      <c r="Z13" s="28"/>
      <c r="AA13" s="28"/>
      <c r="AB13" s="28"/>
      <c r="AC13" s="28"/>
      <c r="AD13" s="28"/>
      <c r="AE13" s="28"/>
      <c r="AF13" s="28"/>
      <c r="AG13" s="28"/>
      <c r="AH13" s="28"/>
      <c r="AI13" s="29"/>
    </row>
    <row r="14" spans="1:35" x14ac:dyDescent="0.2">
      <c r="A14" s="30" t="s">
        <v>231</v>
      </c>
      <c r="B14" s="697" t="s">
        <v>220</v>
      </c>
      <c r="C14" s="697"/>
      <c r="D14" s="697"/>
      <c r="E14" s="697"/>
      <c r="F14" s="697"/>
      <c r="G14" s="698"/>
      <c r="H14" s="587"/>
      <c r="I14" s="588"/>
      <c r="J14" s="588"/>
      <c r="W14" s="29"/>
      <c r="X14" s="29"/>
      <c r="Y14" s="29"/>
      <c r="Z14" s="29"/>
      <c r="AA14" s="29"/>
      <c r="AB14" s="29"/>
      <c r="AC14" s="29"/>
      <c r="AD14" s="29"/>
      <c r="AE14" s="29"/>
      <c r="AF14" s="29"/>
    </row>
    <row r="15" spans="1:35" x14ac:dyDescent="0.2">
      <c r="A15" s="30" t="s">
        <v>232</v>
      </c>
      <c r="B15" s="699">
        <v>2017</v>
      </c>
      <c r="C15" s="699"/>
      <c r="D15" s="699"/>
      <c r="E15" s="699"/>
      <c r="F15" s="699"/>
      <c r="G15" s="699"/>
      <c r="H15" s="29"/>
      <c r="I15" s="31"/>
      <c r="W15" s="29"/>
      <c r="X15" s="29"/>
      <c r="Y15" s="29"/>
      <c r="Z15" s="29"/>
      <c r="AA15" s="29"/>
      <c r="AB15" s="29"/>
      <c r="AC15" s="29"/>
      <c r="AD15" s="29"/>
      <c r="AE15" s="29"/>
      <c r="AF15" s="29"/>
    </row>
    <row r="16" spans="1:35" x14ac:dyDescent="0.2">
      <c r="A16" s="30" t="s">
        <v>233</v>
      </c>
      <c r="B16" s="700">
        <v>2018</v>
      </c>
      <c r="C16" s="700"/>
      <c r="D16" s="700"/>
      <c r="E16" s="700"/>
      <c r="F16" s="700"/>
      <c r="G16" s="700"/>
      <c r="H16" s="587"/>
      <c r="I16" s="588"/>
      <c r="J16" s="588"/>
      <c r="W16" s="29"/>
      <c r="X16" s="29"/>
      <c r="Y16" s="29"/>
      <c r="Z16" s="29"/>
      <c r="AA16" s="29"/>
      <c r="AB16" s="29"/>
      <c r="AC16" s="29"/>
      <c r="AD16" s="29"/>
      <c r="AE16" s="29"/>
      <c r="AF16" s="29"/>
    </row>
    <row r="17" spans="1:32" x14ac:dyDescent="0.2">
      <c r="A17" s="30" t="s">
        <v>234</v>
      </c>
      <c r="B17" s="700">
        <v>2019</v>
      </c>
      <c r="C17" s="700"/>
      <c r="D17" s="700"/>
      <c r="E17" s="700"/>
      <c r="F17" s="700"/>
      <c r="G17" s="700"/>
      <c r="H17" s="587"/>
      <c r="I17" s="588"/>
      <c r="J17" s="588"/>
      <c r="W17" s="29"/>
      <c r="X17" s="29"/>
      <c r="Y17" s="29"/>
      <c r="Z17" s="29"/>
      <c r="AA17" s="29"/>
      <c r="AB17" s="29"/>
      <c r="AC17" s="29"/>
      <c r="AD17" s="29"/>
      <c r="AE17" s="29"/>
      <c r="AF17" s="29"/>
    </row>
    <row r="18" spans="1:32" x14ac:dyDescent="0.2">
      <c r="C18" s="32"/>
      <c r="D18" s="32"/>
      <c r="E18" s="33"/>
      <c r="F18" s="33"/>
      <c r="G18" s="29"/>
      <c r="H18" s="29"/>
      <c r="W18" s="29"/>
      <c r="X18" s="29"/>
      <c r="Y18" s="29"/>
      <c r="Z18" s="29"/>
      <c r="AA18" s="29"/>
      <c r="AB18" s="29"/>
      <c r="AC18" s="29"/>
      <c r="AD18" s="29"/>
      <c r="AE18" s="29"/>
      <c r="AF18" s="29"/>
    </row>
    <row r="19" spans="1:32" x14ac:dyDescent="0.2">
      <c r="A19" s="590" t="s">
        <v>235</v>
      </c>
      <c r="B19" s="590"/>
      <c r="C19" s="590"/>
      <c r="D19" s="590"/>
      <c r="E19" s="590"/>
      <c r="F19" s="590"/>
      <c r="G19" s="590"/>
      <c r="U19" s="29"/>
      <c r="V19" s="29"/>
      <c r="W19" s="29"/>
      <c r="X19" s="29"/>
      <c r="Y19" s="29"/>
      <c r="Z19" s="29"/>
      <c r="AA19" s="29"/>
      <c r="AB19" s="29"/>
      <c r="AC19" s="29"/>
      <c r="AD19" s="29"/>
    </row>
    <row r="20" spans="1:32" ht="25.5" customHeight="1" x14ac:dyDescent="0.2">
      <c r="A20" s="34"/>
      <c r="B20" s="35">
        <f>B15</f>
        <v>2017</v>
      </c>
      <c r="C20" s="32"/>
      <c r="D20" s="32"/>
      <c r="E20" s="33"/>
      <c r="F20" s="33"/>
      <c r="G20" s="29"/>
      <c r="H20" s="588"/>
      <c r="I20" s="588"/>
      <c r="J20" s="588"/>
      <c r="W20" s="29"/>
      <c r="X20" s="29"/>
      <c r="Y20" s="29"/>
      <c r="Z20" s="29"/>
      <c r="AA20" s="29"/>
      <c r="AB20" s="29"/>
      <c r="AC20" s="29"/>
      <c r="AD20" s="29"/>
      <c r="AE20" s="29"/>
      <c r="AF20" s="29"/>
    </row>
    <row r="21" spans="1:32" x14ac:dyDescent="0.2">
      <c r="A21" s="36" t="s">
        <v>236</v>
      </c>
      <c r="B21" s="37"/>
      <c r="C21" s="32"/>
      <c r="D21" s="32"/>
      <c r="E21" s="33"/>
      <c r="F21" s="33"/>
      <c r="G21" s="29"/>
      <c r="H21" s="29"/>
      <c r="I21" s="29"/>
      <c r="W21" s="29"/>
      <c r="X21" s="29"/>
      <c r="Y21" s="29"/>
      <c r="Z21" s="29"/>
      <c r="AA21" s="29"/>
      <c r="AB21" s="29"/>
      <c r="AC21" s="29"/>
      <c r="AD21" s="29"/>
      <c r="AE21" s="29"/>
      <c r="AF21" s="29"/>
    </row>
    <row r="22" spans="1:32" x14ac:dyDescent="0.2">
      <c r="A22" s="38" t="s">
        <v>237</v>
      </c>
      <c r="B22" s="701">
        <v>2366294</v>
      </c>
      <c r="C22" s="32"/>
      <c r="D22" s="32"/>
      <c r="E22" s="33"/>
      <c r="F22" s="33"/>
      <c r="G22" s="29"/>
      <c r="H22" s="29"/>
      <c r="I22" s="29"/>
      <c r="W22" s="29"/>
      <c r="X22" s="29"/>
      <c r="Y22" s="29"/>
      <c r="Z22" s="29"/>
      <c r="AA22" s="29"/>
      <c r="AB22" s="29"/>
      <c r="AC22" s="29"/>
      <c r="AD22" s="29"/>
      <c r="AE22" s="29"/>
      <c r="AF22" s="29"/>
    </row>
    <row r="23" spans="1:32" x14ac:dyDescent="0.2">
      <c r="A23" s="38" t="s">
        <v>238</v>
      </c>
      <c r="B23" s="701">
        <v>227388</v>
      </c>
      <c r="C23" s="32"/>
      <c r="D23" s="32"/>
      <c r="E23" s="33"/>
      <c r="F23" s="33"/>
      <c r="G23" s="29"/>
      <c r="H23" s="29"/>
      <c r="I23" s="29"/>
      <c r="W23" s="29"/>
      <c r="X23" s="29"/>
      <c r="Y23" s="29"/>
      <c r="Z23" s="29"/>
      <c r="AA23" s="29"/>
      <c r="AB23" s="29"/>
      <c r="AC23" s="29"/>
      <c r="AD23" s="29"/>
      <c r="AE23" s="29"/>
      <c r="AF23" s="29"/>
    </row>
    <row r="24" spans="1:32" x14ac:dyDescent="0.2">
      <c r="A24" s="38" t="s">
        <v>239</v>
      </c>
      <c r="B24" s="701">
        <v>144236</v>
      </c>
      <c r="C24" s="32"/>
      <c r="D24" s="32"/>
      <c r="E24" s="33"/>
      <c r="F24" s="33"/>
      <c r="G24" s="29"/>
      <c r="H24" s="29"/>
      <c r="I24" s="29"/>
      <c r="W24" s="29"/>
      <c r="X24" s="29"/>
      <c r="Y24" s="29"/>
      <c r="Z24" s="29"/>
      <c r="AA24" s="29"/>
      <c r="AB24" s="29"/>
      <c r="AC24" s="29"/>
      <c r="AD24" s="29"/>
      <c r="AE24" s="29"/>
      <c r="AF24" s="29"/>
    </row>
    <row r="25" spans="1:32" x14ac:dyDescent="0.2">
      <c r="A25" s="38" t="s">
        <v>240</v>
      </c>
      <c r="B25" s="701">
        <v>2028</v>
      </c>
      <c r="C25" s="32"/>
      <c r="D25" s="32"/>
      <c r="E25" s="33"/>
      <c r="F25" s="33"/>
      <c r="G25" s="29"/>
      <c r="H25" s="29"/>
      <c r="I25" s="29"/>
      <c r="W25" s="29"/>
      <c r="X25" s="29"/>
      <c r="Y25" s="29"/>
      <c r="Z25" s="29"/>
      <c r="AA25" s="29"/>
      <c r="AB25" s="29"/>
      <c r="AC25" s="29"/>
      <c r="AD25" s="29"/>
      <c r="AE25" s="29"/>
      <c r="AF25" s="29"/>
    </row>
    <row r="26" spans="1:32" x14ac:dyDescent="0.2">
      <c r="A26" s="36" t="s">
        <v>241</v>
      </c>
      <c r="B26" s="39"/>
      <c r="C26" s="32"/>
      <c r="D26" s="32"/>
      <c r="E26" s="33"/>
      <c r="F26" s="33"/>
      <c r="G26" s="29"/>
      <c r="H26" s="29"/>
      <c r="I26" s="29"/>
      <c r="W26" s="29"/>
      <c r="X26" s="29"/>
      <c r="Y26" s="29"/>
      <c r="Z26" s="29"/>
      <c r="AA26" s="29"/>
      <c r="AB26" s="29"/>
      <c r="AC26" s="29"/>
      <c r="AD26" s="29"/>
      <c r="AE26" s="29"/>
      <c r="AF26" s="29"/>
    </row>
    <row r="27" spans="1:32" x14ac:dyDescent="0.2">
      <c r="A27" s="40" t="s">
        <v>237</v>
      </c>
      <c r="B27" s="701">
        <v>2654852</v>
      </c>
      <c r="C27" s="32"/>
      <c r="D27" s="32"/>
      <c r="E27" s="33"/>
      <c r="F27" s="33"/>
      <c r="G27" s="29"/>
      <c r="H27" s="29"/>
      <c r="I27" s="29"/>
      <c r="W27" s="29"/>
      <c r="X27" s="29"/>
      <c r="Y27" s="29"/>
      <c r="Z27" s="29"/>
      <c r="AA27" s="29"/>
      <c r="AB27" s="29"/>
      <c r="AC27" s="29"/>
      <c r="AD27" s="29"/>
      <c r="AE27" s="29"/>
      <c r="AF27" s="29"/>
    </row>
    <row r="28" spans="1:32" x14ac:dyDescent="0.2">
      <c r="A28" s="40" t="s">
        <v>238</v>
      </c>
      <c r="B28" s="701">
        <v>1582124</v>
      </c>
      <c r="C28" s="32"/>
      <c r="D28" s="32"/>
      <c r="E28" s="33"/>
      <c r="F28" s="33"/>
      <c r="G28" s="29"/>
      <c r="H28" s="29"/>
      <c r="I28" s="29"/>
      <c r="W28" s="29"/>
      <c r="X28" s="29"/>
      <c r="Y28" s="29"/>
      <c r="Z28" s="29"/>
      <c r="AA28" s="29"/>
      <c r="AB28" s="29"/>
      <c r="AC28" s="29"/>
      <c r="AD28" s="29"/>
      <c r="AE28" s="29"/>
      <c r="AF28" s="29"/>
    </row>
    <row r="29" spans="1:32" x14ac:dyDescent="0.2">
      <c r="A29" s="40" t="s">
        <v>239</v>
      </c>
      <c r="B29" s="701">
        <v>160854</v>
      </c>
      <c r="C29" s="32"/>
      <c r="D29" s="32"/>
      <c r="E29" s="33"/>
      <c r="F29" s="33"/>
      <c r="G29" s="29"/>
      <c r="H29" s="29"/>
      <c r="I29" s="29"/>
      <c r="W29" s="29"/>
      <c r="X29" s="29"/>
      <c r="Y29" s="29"/>
      <c r="Z29" s="29"/>
      <c r="AA29" s="29"/>
      <c r="AB29" s="29"/>
      <c r="AC29" s="29"/>
      <c r="AD29" s="29"/>
      <c r="AE29" s="29"/>
      <c r="AF29" s="29"/>
    </row>
    <row r="30" spans="1:32" x14ac:dyDescent="0.2">
      <c r="A30" s="38" t="s">
        <v>240</v>
      </c>
      <c r="B30" s="701">
        <v>1006</v>
      </c>
      <c r="C30" s="32"/>
      <c r="D30" s="32"/>
      <c r="E30" s="33"/>
      <c r="F30" s="33"/>
      <c r="G30" s="29"/>
      <c r="H30" s="29"/>
      <c r="I30" s="29"/>
      <c r="W30" s="29"/>
      <c r="X30" s="29"/>
      <c r="Y30" s="29"/>
      <c r="Z30" s="29"/>
      <c r="AA30" s="29"/>
      <c r="AB30" s="29"/>
      <c r="AC30" s="29"/>
      <c r="AD30" s="29"/>
      <c r="AE30" s="29"/>
      <c r="AF30" s="29"/>
    </row>
    <row r="31" spans="1:32" x14ac:dyDescent="0.2">
      <c r="A31" s="41" t="s">
        <v>242</v>
      </c>
      <c r="B31" s="42">
        <f>SUM(B22:B30)</f>
        <v>7138782</v>
      </c>
      <c r="C31" s="32"/>
      <c r="D31" s="32"/>
      <c r="E31" s="33"/>
      <c r="F31" s="33"/>
      <c r="G31" s="29"/>
      <c r="H31" s="29"/>
      <c r="I31" s="29"/>
      <c r="W31" s="29"/>
      <c r="X31" s="29"/>
      <c r="Y31" s="29"/>
      <c r="Z31" s="29"/>
      <c r="AA31" s="29"/>
      <c r="AB31" s="29"/>
      <c r="AC31" s="29"/>
      <c r="AD31" s="29"/>
      <c r="AE31" s="29"/>
      <c r="AF31" s="29"/>
    </row>
    <row r="32" spans="1:32" x14ac:dyDescent="0.2">
      <c r="A32" s="36" t="s">
        <v>243</v>
      </c>
      <c r="B32" s="39"/>
      <c r="C32" s="32"/>
      <c r="D32" s="32"/>
      <c r="E32" s="33"/>
      <c r="F32" s="33"/>
      <c r="G32" s="29"/>
      <c r="H32" s="29"/>
      <c r="I32" s="29"/>
      <c r="W32" s="29"/>
      <c r="X32" s="29"/>
      <c r="Y32" s="29"/>
      <c r="Z32" s="29"/>
      <c r="AA32" s="29"/>
      <c r="AB32" s="29"/>
      <c r="AC32" s="29"/>
      <c r="AD32" s="29"/>
      <c r="AE32" s="29"/>
      <c r="AF32" s="29"/>
    </row>
    <row r="33" spans="1:37" x14ac:dyDescent="0.2">
      <c r="A33" s="38" t="s">
        <v>237</v>
      </c>
      <c r="B33" s="701">
        <v>55653</v>
      </c>
      <c r="C33" s="32"/>
      <c r="D33" s="32"/>
      <c r="E33" s="420"/>
      <c r="F33" s="33"/>
      <c r="G33" s="29"/>
      <c r="H33" s="29"/>
      <c r="I33" s="29"/>
      <c r="W33" s="29"/>
      <c r="X33" s="29"/>
      <c r="Y33" s="29"/>
      <c r="Z33" s="29"/>
      <c r="AA33" s="29"/>
      <c r="AB33" s="29"/>
      <c r="AC33" s="29"/>
      <c r="AD33" s="29"/>
      <c r="AE33" s="29"/>
      <c r="AF33" s="29"/>
    </row>
    <row r="34" spans="1:37" x14ac:dyDescent="0.2">
      <c r="A34" s="38" t="s">
        <v>238</v>
      </c>
      <c r="B34" s="701">
        <v>14421</v>
      </c>
      <c r="C34" s="32"/>
      <c r="D34" s="32"/>
      <c r="E34" s="33"/>
      <c r="F34" s="33"/>
      <c r="G34" s="29"/>
      <c r="H34" s="29"/>
      <c r="I34" s="29"/>
      <c r="W34" s="29"/>
      <c r="X34" s="29"/>
      <c r="Y34" s="29"/>
      <c r="Z34" s="29"/>
      <c r="AA34" s="29"/>
      <c r="AB34" s="29"/>
      <c r="AC34" s="29"/>
      <c r="AD34" s="29"/>
      <c r="AE34" s="29"/>
      <c r="AF34" s="29"/>
    </row>
    <row r="35" spans="1:37" x14ac:dyDescent="0.2">
      <c r="A35" s="38" t="s">
        <v>239</v>
      </c>
      <c r="B35" s="701">
        <v>11500</v>
      </c>
      <c r="C35" s="32"/>
      <c r="D35" s="32"/>
      <c r="E35" s="33"/>
      <c r="F35" s="33"/>
      <c r="G35" s="29"/>
      <c r="H35" s="29"/>
      <c r="I35" s="29"/>
      <c r="W35" s="29"/>
      <c r="X35" s="29"/>
      <c r="Y35" s="29"/>
      <c r="Z35" s="29"/>
      <c r="AA35" s="29"/>
      <c r="AB35" s="29"/>
      <c r="AC35" s="29"/>
      <c r="AD35" s="29"/>
      <c r="AE35" s="29"/>
      <c r="AF35" s="29"/>
    </row>
    <row r="36" spans="1:37" x14ac:dyDescent="0.2">
      <c r="A36" s="38" t="s">
        <v>240</v>
      </c>
      <c r="B36" s="701">
        <v>143</v>
      </c>
      <c r="C36" s="32"/>
      <c r="D36" s="32"/>
      <c r="E36" s="33"/>
      <c r="F36" s="33"/>
      <c r="G36" s="29"/>
      <c r="H36" s="29"/>
      <c r="I36" s="29"/>
      <c r="W36" s="29"/>
      <c r="X36" s="29"/>
      <c r="Y36" s="29"/>
      <c r="Z36" s="29"/>
      <c r="AA36" s="29"/>
      <c r="AB36" s="29"/>
      <c r="AC36" s="29"/>
      <c r="AD36" s="29"/>
      <c r="AE36" s="29"/>
      <c r="AF36" s="29"/>
    </row>
    <row r="37" spans="1:37" x14ac:dyDescent="0.2">
      <c r="A37" s="36" t="s">
        <v>244</v>
      </c>
      <c r="B37" s="39"/>
      <c r="C37" s="32"/>
      <c r="D37" s="32"/>
      <c r="E37" s="33"/>
      <c r="F37" s="33"/>
      <c r="G37" s="29"/>
      <c r="H37" s="29"/>
      <c r="I37" s="29"/>
      <c r="W37" s="29"/>
      <c r="X37" s="29"/>
      <c r="Y37" s="29"/>
      <c r="Z37" s="29"/>
      <c r="AA37" s="29"/>
      <c r="AB37" s="29"/>
      <c r="AC37" s="29"/>
      <c r="AD37" s="29"/>
      <c r="AE37" s="29"/>
      <c r="AF37" s="29"/>
    </row>
    <row r="38" spans="1:37" x14ac:dyDescent="0.2">
      <c r="A38" s="40" t="s">
        <v>237</v>
      </c>
      <c r="B38" s="701">
        <v>60300</v>
      </c>
      <c r="C38" s="32"/>
      <c r="D38" s="32"/>
      <c r="E38" s="420"/>
      <c r="F38" s="33"/>
      <c r="G38" s="29"/>
      <c r="H38" s="29"/>
      <c r="I38" s="29"/>
      <c r="W38" s="29"/>
      <c r="X38" s="29"/>
      <c r="Y38" s="29"/>
      <c r="Z38" s="29"/>
      <c r="AA38" s="29"/>
      <c r="AB38" s="29"/>
      <c r="AC38" s="29"/>
      <c r="AD38" s="29"/>
      <c r="AE38" s="29"/>
      <c r="AF38" s="29"/>
    </row>
    <row r="39" spans="1:37" x14ac:dyDescent="0.2">
      <c r="A39" s="40" t="s">
        <v>238</v>
      </c>
      <c r="B39" s="701">
        <v>97737</v>
      </c>
      <c r="C39" s="32"/>
      <c r="D39" s="32"/>
      <c r="E39" s="33"/>
      <c r="F39" s="33"/>
      <c r="G39" s="29"/>
      <c r="H39" s="29"/>
      <c r="I39" s="29"/>
      <c r="W39" s="29"/>
      <c r="X39" s="29"/>
      <c r="Y39" s="29"/>
      <c r="Z39" s="29"/>
      <c r="AA39" s="29"/>
      <c r="AB39" s="29"/>
      <c r="AC39" s="29"/>
      <c r="AD39" s="29"/>
      <c r="AE39" s="29"/>
      <c r="AF39" s="29"/>
    </row>
    <row r="40" spans="1:37" x14ac:dyDescent="0.2">
      <c r="A40" s="40" t="s">
        <v>239</v>
      </c>
      <c r="B40" s="701">
        <v>12441</v>
      </c>
      <c r="C40" s="32"/>
      <c r="D40" s="32"/>
      <c r="E40" s="33"/>
      <c r="F40" s="33"/>
      <c r="G40" s="29"/>
      <c r="H40" s="29"/>
      <c r="I40" s="29"/>
      <c r="W40" s="29"/>
      <c r="X40" s="29"/>
      <c r="Y40" s="29"/>
      <c r="Z40" s="29"/>
      <c r="AA40" s="29"/>
      <c r="AB40" s="29"/>
      <c r="AC40" s="29"/>
      <c r="AD40" s="29"/>
      <c r="AE40" s="29"/>
      <c r="AF40" s="29"/>
    </row>
    <row r="41" spans="1:37" x14ac:dyDescent="0.2">
      <c r="A41" s="38" t="s">
        <v>240</v>
      </c>
      <c r="B41" s="701">
        <v>383</v>
      </c>
      <c r="C41" s="32"/>
      <c r="D41" s="32"/>
      <c r="E41" s="33"/>
      <c r="F41" s="33"/>
      <c r="G41" s="29"/>
      <c r="H41" s="29"/>
      <c r="I41" s="29"/>
      <c r="W41" s="29"/>
      <c r="X41" s="29"/>
      <c r="Y41" s="29"/>
      <c r="Z41" s="29"/>
      <c r="AA41" s="29"/>
      <c r="AB41" s="29"/>
      <c r="AC41" s="29"/>
      <c r="AD41" s="29"/>
      <c r="AE41" s="29"/>
      <c r="AF41" s="29"/>
    </row>
    <row r="42" spans="1:37" x14ac:dyDescent="0.2">
      <c r="A42" s="41" t="s">
        <v>245</v>
      </c>
      <c r="B42" s="42">
        <f>SUM(B33:B41)</f>
        <v>252578</v>
      </c>
      <c r="C42" s="32"/>
      <c r="D42" s="32"/>
      <c r="E42" s="33"/>
      <c r="F42" s="33"/>
      <c r="G42" s="29"/>
      <c r="H42" s="29"/>
      <c r="I42" s="29"/>
      <c r="W42" s="29"/>
      <c r="X42" s="29"/>
      <c r="Y42" s="29"/>
      <c r="Z42" s="29"/>
      <c r="AA42" s="29"/>
      <c r="AB42" s="29"/>
      <c r="AC42" s="29"/>
      <c r="AD42" s="29"/>
      <c r="AE42" s="29"/>
      <c r="AF42" s="29"/>
    </row>
    <row r="43" spans="1:37" x14ac:dyDescent="0.2">
      <c r="C43" s="32"/>
      <c r="D43" s="32"/>
      <c r="E43" s="33"/>
      <c r="F43" s="33"/>
      <c r="G43" s="29"/>
      <c r="H43" s="29"/>
      <c r="I43" s="29"/>
      <c r="W43" s="29"/>
      <c r="X43" s="29"/>
      <c r="Y43" s="29"/>
      <c r="Z43" s="29"/>
      <c r="AA43" s="29"/>
      <c r="AB43" s="29"/>
      <c r="AC43" s="29"/>
      <c r="AD43" s="29"/>
      <c r="AE43" s="29"/>
      <c r="AF43" s="29"/>
    </row>
    <row r="44" spans="1:37" x14ac:dyDescent="0.2">
      <c r="A44" s="590" t="s">
        <v>246</v>
      </c>
      <c r="B44" s="590"/>
      <c r="C44" s="590"/>
      <c r="D44" s="590"/>
      <c r="E44" s="590"/>
      <c r="F44" s="590"/>
      <c r="G44" s="590"/>
      <c r="H44" s="590"/>
      <c r="V44" s="29"/>
      <c r="W44" s="29"/>
      <c r="X44" s="29"/>
      <c r="Y44" s="29"/>
      <c r="Z44" s="29"/>
      <c r="AA44" s="29"/>
      <c r="AB44" s="29"/>
      <c r="AC44" s="29"/>
      <c r="AD44" s="29"/>
      <c r="AE44" s="29"/>
      <c r="AH44" s="43" t="s">
        <v>247</v>
      </c>
      <c r="AI44" s="43"/>
      <c r="AJ44" s="43"/>
    </row>
    <row r="45" spans="1:37" x14ac:dyDescent="0.2">
      <c r="A45" s="591" t="s">
        <v>531</v>
      </c>
      <c r="B45" s="592"/>
      <c r="C45" s="592"/>
      <c r="D45" s="592"/>
      <c r="E45" s="592"/>
      <c r="F45" s="592"/>
      <c r="G45" s="592"/>
      <c r="H45" s="593"/>
      <c r="I45" s="587"/>
      <c r="J45" s="588"/>
      <c r="K45" s="588"/>
      <c r="L45" s="588"/>
      <c r="N45" s="269"/>
      <c r="O45" s="269"/>
      <c r="P45" s="269"/>
      <c r="Q45" s="269"/>
      <c r="W45" s="29"/>
      <c r="X45" s="29"/>
      <c r="Y45" s="29"/>
      <c r="Z45" s="29"/>
      <c r="AA45" s="29"/>
      <c r="AB45" s="29"/>
      <c r="AC45" s="29"/>
      <c r="AD45" s="29"/>
      <c r="AE45" s="29"/>
      <c r="AF45" s="29"/>
      <c r="AI45" s="43"/>
      <c r="AJ45" s="43"/>
      <c r="AK45" s="43"/>
    </row>
    <row r="46" spans="1:37" x14ac:dyDescent="0.2">
      <c r="B46" s="44">
        <v>2016</v>
      </c>
      <c r="C46" s="44">
        <f t="shared" ref="C46:H46" si="0">B46+1</f>
        <v>2017</v>
      </c>
      <c r="D46" s="44">
        <f t="shared" si="0"/>
        <v>2018</v>
      </c>
      <c r="E46" s="44">
        <f t="shared" si="0"/>
        <v>2019</v>
      </c>
      <c r="F46" s="44">
        <f t="shared" si="0"/>
        <v>2020</v>
      </c>
      <c r="G46" s="44">
        <f t="shared" si="0"/>
        <v>2021</v>
      </c>
      <c r="H46" s="44">
        <f t="shared" si="0"/>
        <v>2022</v>
      </c>
      <c r="K46" s="761"/>
      <c r="N46" s="269"/>
      <c r="O46" s="269"/>
      <c r="P46" s="269"/>
      <c r="W46" s="29"/>
      <c r="X46" s="29"/>
      <c r="Y46" s="29"/>
      <c r="Z46" s="29"/>
      <c r="AA46" s="29"/>
      <c r="AB46" s="29"/>
      <c r="AC46" s="29"/>
      <c r="AD46" s="29"/>
      <c r="AE46" s="29"/>
      <c r="AF46" s="29"/>
      <c r="AI46" s="43"/>
      <c r="AJ46" s="43"/>
      <c r="AK46" s="43"/>
    </row>
    <row r="47" spans="1:37" ht="25.5" x14ac:dyDescent="0.2">
      <c r="A47" s="30" t="s">
        <v>165</v>
      </c>
      <c r="B47" s="753"/>
      <c r="C47" s="753">
        <v>525487.84</v>
      </c>
      <c r="D47" s="753">
        <f>413259.46-L52</f>
        <v>299671.04238887562</v>
      </c>
      <c r="E47" s="734"/>
      <c r="F47" s="733"/>
      <c r="G47" s="733"/>
      <c r="H47" s="733"/>
      <c r="I47" s="587"/>
      <c r="J47" s="691" t="s">
        <v>630</v>
      </c>
      <c r="K47" s="751" t="s">
        <v>450</v>
      </c>
      <c r="L47" s="758">
        <v>978536.33</v>
      </c>
      <c r="M47" s="692"/>
      <c r="N47" s="269"/>
      <c r="O47" s="269"/>
      <c r="P47" s="269"/>
      <c r="Q47" s="269"/>
      <c r="W47" s="29"/>
      <c r="X47" s="29"/>
      <c r="Y47" s="29"/>
      <c r="Z47" s="29"/>
      <c r="AA47" s="29"/>
      <c r="AB47" s="29"/>
      <c r="AC47" s="29"/>
      <c r="AD47" s="29"/>
      <c r="AE47" s="29"/>
      <c r="AF47" s="29"/>
      <c r="AI47" s="46"/>
      <c r="AJ47" s="43"/>
      <c r="AK47" s="43"/>
    </row>
    <row r="48" spans="1:37" x14ac:dyDescent="0.2">
      <c r="A48" s="735" t="s">
        <v>168</v>
      </c>
      <c r="B48" s="754"/>
      <c r="C48" s="754"/>
      <c r="D48" s="754"/>
      <c r="E48" s="736">
        <v>511465</v>
      </c>
      <c r="F48" s="737"/>
      <c r="G48" s="737"/>
      <c r="H48" s="737"/>
      <c r="I48" s="587"/>
      <c r="J48" s="691"/>
      <c r="K48" s="751" t="s">
        <v>631</v>
      </c>
      <c r="L48" s="758">
        <v>39789.03</v>
      </c>
      <c r="M48" s="752">
        <f>L48/L47</f>
        <v>4.0661781050070976E-2</v>
      </c>
      <c r="N48" s="269"/>
      <c r="O48" s="269"/>
      <c r="P48" s="269"/>
      <c r="Q48" s="269"/>
      <c r="W48" s="29"/>
      <c r="X48" s="29"/>
      <c r="Y48" s="29"/>
      <c r="Z48" s="29"/>
      <c r="AA48" s="29"/>
      <c r="AB48" s="29"/>
      <c r="AC48" s="29"/>
      <c r="AD48" s="29"/>
      <c r="AE48" s="29"/>
      <c r="AF48" s="29"/>
      <c r="AI48" s="46"/>
      <c r="AJ48" s="43"/>
      <c r="AK48" s="43"/>
    </row>
    <row r="49" spans="1:37" ht="26.25" customHeight="1" x14ac:dyDescent="0.2">
      <c r="A49" s="30" t="s">
        <v>248</v>
      </c>
      <c r="B49" s="753"/>
      <c r="C49" s="753">
        <v>22272.93</v>
      </c>
      <c r="D49" s="753">
        <f>17516.1-L51</f>
        <v>12701.627611124361</v>
      </c>
      <c r="E49" s="753"/>
      <c r="F49" s="733"/>
      <c r="G49" s="733"/>
      <c r="H49" s="733"/>
      <c r="I49" s="587"/>
      <c r="J49" s="32"/>
      <c r="K49" s="751" t="s">
        <v>632</v>
      </c>
      <c r="L49" s="758">
        <v>938747.3</v>
      </c>
      <c r="M49" s="752">
        <f>L49/L47</f>
        <v>0.9593382189499291</v>
      </c>
      <c r="N49" s="269"/>
      <c r="O49" s="269"/>
      <c r="P49" s="269"/>
      <c r="W49" s="29"/>
      <c r="X49" s="29"/>
      <c r="Y49" s="29"/>
      <c r="Z49" s="29"/>
      <c r="AA49" s="29"/>
      <c r="AB49" s="29"/>
      <c r="AC49" s="29"/>
      <c r="AD49" s="29"/>
      <c r="AE49" s="29"/>
      <c r="AF49" s="29"/>
      <c r="AI49" s="43"/>
      <c r="AJ49" s="48"/>
      <c r="AK49" s="49"/>
    </row>
    <row r="50" spans="1:37" ht="25.5" x14ac:dyDescent="0.2">
      <c r="A50" s="30" t="s">
        <v>166</v>
      </c>
      <c r="B50" s="753">
        <f>31216.34-944.26</f>
        <v>30272.080000000002</v>
      </c>
      <c r="C50" s="753">
        <f>8157.8</f>
        <v>8157.8</v>
      </c>
      <c r="D50" s="753">
        <v>12556.15</v>
      </c>
      <c r="E50" s="753"/>
      <c r="F50" s="733"/>
      <c r="G50" s="733"/>
      <c r="H50" s="733"/>
      <c r="J50" s="691" t="s">
        <v>633</v>
      </c>
      <c r="K50" s="751" t="s">
        <v>450</v>
      </c>
      <c r="L50" s="759">
        <v>118402.89</v>
      </c>
      <c r="M50" s="690"/>
      <c r="W50" s="29"/>
      <c r="X50" s="29"/>
      <c r="Y50" s="29"/>
      <c r="Z50" s="29"/>
      <c r="AA50" s="29"/>
      <c r="AB50" s="29"/>
      <c r="AC50" s="29"/>
      <c r="AD50" s="29"/>
      <c r="AE50" s="29"/>
      <c r="AF50" s="29"/>
      <c r="AI50" s="46"/>
      <c r="AJ50" s="47"/>
      <c r="AK50" s="43"/>
    </row>
    <row r="51" spans="1:37" ht="25.5" x14ac:dyDescent="0.2">
      <c r="A51" s="735" t="s">
        <v>169</v>
      </c>
      <c r="B51" s="754"/>
      <c r="C51" s="754"/>
      <c r="D51" s="754">
        <v>20000</v>
      </c>
      <c r="E51" s="754">
        <v>12000</v>
      </c>
      <c r="F51" s="733"/>
      <c r="G51" s="733"/>
      <c r="H51" s="733"/>
      <c r="J51" s="689"/>
      <c r="K51" s="751" t="s">
        <v>631</v>
      </c>
      <c r="L51" s="758">
        <f>L50*M48</f>
        <v>4814.472388875638</v>
      </c>
      <c r="M51" s="690"/>
      <c r="W51" s="29"/>
      <c r="X51" s="29"/>
      <c r="Y51" s="29"/>
      <c r="Z51" s="29"/>
      <c r="AA51" s="29"/>
      <c r="AB51" s="29"/>
      <c r="AC51" s="29"/>
      <c r="AD51" s="29"/>
      <c r="AE51" s="29"/>
      <c r="AF51" s="29"/>
      <c r="AI51" s="46"/>
      <c r="AJ51" s="47"/>
      <c r="AK51" s="43"/>
    </row>
    <row r="52" spans="1:37" ht="25.5" x14ac:dyDescent="0.2">
      <c r="A52" s="30" t="s">
        <v>167</v>
      </c>
      <c r="B52" s="753">
        <f>1483.66-44.91</f>
        <v>1438.75</v>
      </c>
      <c r="C52" s="753">
        <v>384.4</v>
      </c>
      <c r="D52" s="753">
        <v>591.65</v>
      </c>
      <c r="E52" s="753"/>
      <c r="F52" s="733"/>
      <c r="G52" s="733"/>
      <c r="H52" s="733"/>
      <c r="J52" s="689"/>
      <c r="K52" s="751" t="s">
        <v>632</v>
      </c>
      <c r="L52" s="760">
        <f>L50*M49</f>
        <v>113588.41761112437</v>
      </c>
      <c r="M52" s="690"/>
      <c r="W52" s="29"/>
      <c r="X52" s="29"/>
      <c r="Y52" s="29"/>
      <c r="Z52" s="29"/>
      <c r="AA52" s="29"/>
      <c r="AB52" s="29"/>
      <c r="AC52" s="29"/>
      <c r="AD52" s="29"/>
      <c r="AE52" s="29"/>
      <c r="AF52" s="29"/>
      <c r="AI52" s="43"/>
      <c r="AJ52" s="48"/>
      <c r="AK52" s="49"/>
    </row>
    <row r="53" spans="1:37" ht="15" customHeight="1" x14ac:dyDescent="0.2">
      <c r="A53" s="30" t="s">
        <v>173</v>
      </c>
      <c r="B53" s="753">
        <v>3627.59</v>
      </c>
      <c r="C53" s="753"/>
      <c r="D53" s="753">
        <v>4582.21</v>
      </c>
      <c r="E53" s="753"/>
      <c r="F53" s="733"/>
      <c r="G53" s="733"/>
      <c r="H53" s="733"/>
      <c r="W53" s="29"/>
      <c r="X53" s="29"/>
      <c r="Y53" s="29"/>
      <c r="Z53" s="29"/>
      <c r="AA53" s="29"/>
      <c r="AB53" s="29"/>
      <c r="AC53" s="29"/>
      <c r="AD53" s="29"/>
      <c r="AE53" s="29"/>
      <c r="AF53" s="29"/>
      <c r="AI53" s="43"/>
      <c r="AJ53" s="47"/>
      <c r="AK53" s="49"/>
    </row>
    <row r="54" spans="1:37" ht="15" customHeight="1" x14ac:dyDescent="0.2">
      <c r="A54" s="30" t="s">
        <v>174</v>
      </c>
      <c r="B54" s="753">
        <v>172.41</v>
      </c>
      <c r="C54" s="753"/>
      <c r="D54" s="753">
        <v>217.79</v>
      </c>
      <c r="E54" s="753"/>
      <c r="F54" s="733"/>
      <c r="G54" s="733"/>
      <c r="H54" s="733"/>
      <c r="W54" s="29"/>
      <c r="X54" s="29"/>
      <c r="Y54" s="29"/>
      <c r="Z54" s="29"/>
      <c r="AA54" s="29"/>
      <c r="AB54" s="29"/>
      <c r="AC54" s="29"/>
      <c r="AD54" s="29"/>
      <c r="AE54" s="29"/>
      <c r="AF54" s="29"/>
      <c r="AI54" s="43"/>
      <c r="AJ54" s="47"/>
      <c r="AK54" s="49"/>
    </row>
    <row r="55" spans="1:37" x14ac:dyDescent="0.2">
      <c r="A55" s="30" t="s">
        <v>249</v>
      </c>
      <c r="B55" s="733"/>
      <c r="C55" s="733"/>
      <c r="D55" s="733"/>
      <c r="E55" s="733"/>
      <c r="F55" s="733"/>
      <c r="G55" s="733"/>
      <c r="H55" s="733"/>
      <c r="J55" s="6"/>
      <c r="K55" s="687"/>
      <c r="L55" s="687"/>
      <c r="M55" s="687"/>
      <c r="W55" s="29"/>
      <c r="X55" s="29"/>
      <c r="Y55" s="29"/>
      <c r="Z55" s="29"/>
      <c r="AA55" s="29"/>
      <c r="AB55" s="29"/>
      <c r="AC55" s="29"/>
      <c r="AD55" s="29"/>
      <c r="AE55" s="29"/>
      <c r="AF55" s="29"/>
    </row>
    <row r="56" spans="1:37" x14ac:dyDescent="0.2">
      <c r="A56" s="30" t="s">
        <v>250</v>
      </c>
      <c r="B56" s="733"/>
      <c r="C56" s="733"/>
      <c r="D56" s="733"/>
      <c r="E56" s="733"/>
      <c r="F56" s="733"/>
      <c r="G56" s="733"/>
      <c r="H56" s="733"/>
      <c r="J56" s="689"/>
      <c r="K56" s="688"/>
      <c r="L56" s="688"/>
      <c r="M56" s="690"/>
      <c r="W56" s="29"/>
      <c r="X56" s="29"/>
      <c r="Y56" s="29"/>
      <c r="Z56" s="29"/>
      <c r="AA56" s="29"/>
      <c r="AB56" s="29"/>
      <c r="AC56" s="29"/>
      <c r="AD56" s="29"/>
      <c r="AE56" s="29"/>
      <c r="AF56" s="29"/>
    </row>
    <row r="57" spans="1:37" x14ac:dyDescent="0.2">
      <c r="A57" s="30" t="s">
        <v>251</v>
      </c>
      <c r="B57" s="733"/>
      <c r="C57" s="733"/>
      <c r="D57" s="733"/>
      <c r="E57" s="733"/>
      <c r="F57" s="733"/>
      <c r="G57" s="733"/>
      <c r="H57" s="733"/>
      <c r="J57" s="689"/>
      <c r="K57" s="425"/>
      <c r="L57" s="425"/>
      <c r="M57" s="690"/>
      <c r="W57" s="29"/>
      <c r="X57" s="29"/>
      <c r="Y57" s="29"/>
      <c r="Z57" s="29"/>
      <c r="AA57" s="29"/>
      <c r="AB57" s="29"/>
      <c r="AC57" s="29"/>
      <c r="AD57" s="29"/>
      <c r="AE57" s="29"/>
      <c r="AF57" s="29"/>
    </row>
    <row r="58" spans="1:37" x14ac:dyDescent="0.2">
      <c r="A58" s="591" t="s">
        <v>252</v>
      </c>
      <c r="B58" s="592"/>
      <c r="C58" s="592"/>
      <c r="D58" s="592"/>
      <c r="E58" s="592"/>
      <c r="F58" s="592"/>
      <c r="G58" s="592"/>
      <c r="H58" s="593"/>
      <c r="W58" s="29"/>
      <c r="X58" s="29"/>
      <c r="Y58" s="29"/>
      <c r="Z58" s="29"/>
      <c r="AA58" s="29"/>
      <c r="AB58" s="29"/>
      <c r="AC58" s="29"/>
      <c r="AD58" s="29"/>
      <c r="AE58" s="29"/>
      <c r="AF58" s="29"/>
    </row>
    <row r="59" spans="1:37" x14ac:dyDescent="0.2">
      <c r="B59" s="44">
        <v>2016</v>
      </c>
      <c r="C59" s="44">
        <f t="shared" ref="C59:H59" si="1">B59+1</f>
        <v>2017</v>
      </c>
      <c r="D59" s="44">
        <f t="shared" si="1"/>
        <v>2018</v>
      </c>
      <c r="E59" s="44">
        <f t="shared" si="1"/>
        <v>2019</v>
      </c>
      <c r="F59" s="44">
        <f t="shared" si="1"/>
        <v>2020</v>
      </c>
      <c r="G59" s="44">
        <f t="shared" si="1"/>
        <v>2021</v>
      </c>
      <c r="H59" s="44">
        <f t="shared" si="1"/>
        <v>2022</v>
      </c>
      <c r="W59" s="29"/>
      <c r="X59" s="29"/>
      <c r="Y59" s="29"/>
      <c r="Z59" s="29"/>
      <c r="AA59" s="29"/>
      <c r="AB59" s="29"/>
      <c r="AC59" s="29"/>
      <c r="AD59" s="29"/>
      <c r="AE59" s="29"/>
      <c r="AF59" s="29"/>
    </row>
    <row r="60" spans="1:37" ht="25.5" x14ac:dyDescent="0.2">
      <c r="A60" s="45" t="str">
        <f>A47</f>
        <v>Jaunu KAIT būvdarbu izmaksas (MK noteikumu 25.2.punkts), esošā līguma ietvaros</v>
      </c>
      <c r="B60" s="51">
        <f>B47</f>
        <v>0</v>
      </c>
      <c r="C60" s="51">
        <f t="shared" ref="C60:H60" si="2">C47</f>
        <v>525487.84</v>
      </c>
      <c r="D60" s="51">
        <f t="shared" si="2"/>
        <v>299671.04238887562</v>
      </c>
      <c r="E60" s="51">
        <f t="shared" si="2"/>
        <v>0</v>
      </c>
      <c r="F60" s="51">
        <f t="shared" si="2"/>
        <v>0</v>
      </c>
      <c r="G60" s="51">
        <f t="shared" si="2"/>
        <v>0</v>
      </c>
      <c r="H60" s="51">
        <f t="shared" si="2"/>
        <v>0</v>
      </c>
      <c r="W60" s="29"/>
      <c r="X60" s="29"/>
      <c r="Y60" s="29"/>
      <c r="Z60" s="29"/>
      <c r="AA60" s="29"/>
      <c r="AB60" s="29"/>
      <c r="AC60" s="29"/>
      <c r="AD60" s="29"/>
      <c r="AE60" s="29"/>
      <c r="AF60" s="29"/>
    </row>
    <row r="61" spans="1:37" x14ac:dyDescent="0.2">
      <c r="A61" s="45" t="str">
        <f>A48</f>
        <v>Jaunu KAIT būvdarbu izmaksas (MK noteikumu 25.2.punkts), papildus</v>
      </c>
      <c r="B61" s="51">
        <f>B48</f>
        <v>0</v>
      </c>
      <c r="C61" s="51">
        <f t="shared" ref="C61:H61" si="3">C48</f>
        <v>0</v>
      </c>
      <c r="D61" s="51">
        <f t="shared" si="3"/>
        <v>0</v>
      </c>
      <c r="E61" s="51">
        <f t="shared" si="3"/>
        <v>511465</v>
      </c>
      <c r="F61" s="51">
        <f t="shared" si="3"/>
        <v>0</v>
      </c>
      <c r="G61" s="51">
        <f t="shared" si="3"/>
        <v>0</v>
      </c>
      <c r="H61" s="51">
        <f t="shared" si="3"/>
        <v>0</v>
      </c>
      <c r="W61" s="29"/>
      <c r="X61" s="29"/>
      <c r="Y61" s="29"/>
      <c r="Z61" s="29"/>
      <c r="AA61" s="29"/>
      <c r="AB61" s="29"/>
      <c r="AC61" s="29"/>
      <c r="AD61" s="29"/>
      <c r="AE61" s="29"/>
      <c r="AF61" s="29"/>
    </row>
    <row r="62" spans="1:37" ht="25.5" x14ac:dyDescent="0.2">
      <c r="A62" s="45" t="str">
        <f>A50</f>
        <v>KAIT būvdarbu projektēšanas (neskaitot būvprojekta ekspertīzes izmaksas) un būvuzraudzības izmaksas (MK noteikumu 25.1.punkts), esošā līguma ietvaros</v>
      </c>
      <c r="B62" s="51">
        <f>B50</f>
        <v>30272.080000000002</v>
      </c>
      <c r="C62" s="51">
        <f t="shared" ref="C62:H62" si="4">C50</f>
        <v>8157.8</v>
      </c>
      <c r="D62" s="51">
        <f t="shared" si="4"/>
        <v>12556.15</v>
      </c>
      <c r="E62" s="51">
        <f t="shared" si="4"/>
        <v>0</v>
      </c>
      <c r="F62" s="51">
        <f t="shared" si="4"/>
        <v>0</v>
      </c>
      <c r="G62" s="51">
        <f t="shared" si="4"/>
        <v>0</v>
      </c>
      <c r="H62" s="51">
        <f t="shared" si="4"/>
        <v>0</v>
      </c>
      <c r="K62" s="425"/>
      <c r="L62" s="425"/>
      <c r="W62" s="29"/>
      <c r="X62" s="29"/>
      <c r="Y62" s="29"/>
      <c r="Z62" s="29"/>
      <c r="AA62" s="29"/>
      <c r="AB62" s="29"/>
      <c r="AC62" s="29"/>
      <c r="AD62" s="29"/>
      <c r="AE62" s="29"/>
      <c r="AF62" s="29"/>
    </row>
    <row r="63" spans="1:37" ht="25.5" x14ac:dyDescent="0.2">
      <c r="A63" s="45" t="str">
        <f>A51</f>
        <v>KAIT būvdarbu projektēšanas (neskaitot būvprojekta ekspertīzes izmaksas) un būvuzraudzības izmaksas (MK noteikumu 25.1.punkts), papildus</v>
      </c>
      <c r="B63" s="51">
        <f>B51</f>
        <v>0</v>
      </c>
      <c r="C63" s="51">
        <f t="shared" ref="C63:H63" si="5">C51</f>
        <v>0</v>
      </c>
      <c r="D63" s="51">
        <f t="shared" si="5"/>
        <v>20000</v>
      </c>
      <c r="E63" s="51">
        <f t="shared" si="5"/>
        <v>12000</v>
      </c>
      <c r="F63" s="51">
        <f t="shared" si="5"/>
        <v>0</v>
      </c>
      <c r="G63" s="51">
        <f t="shared" si="5"/>
        <v>0</v>
      </c>
      <c r="H63" s="51">
        <f t="shared" si="5"/>
        <v>0</v>
      </c>
      <c r="K63" s="425"/>
      <c r="L63" s="425"/>
      <c r="W63" s="29"/>
      <c r="X63" s="29"/>
      <c r="Y63" s="29"/>
      <c r="Z63" s="29"/>
      <c r="AA63" s="29"/>
      <c r="AB63" s="29"/>
      <c r="AC63" s="29"/>
      <c r="AD63" s="29"/>
      <c r="AE63" s="29"/>
      <c r="AF63" s="29"/>
    </row>
    <row r="64" spans="1:37" x14ac:dyDescent="0.2">
      <c r="A64" s="50" t="s">
        <v>249</v>
      </c>
      <c r="B64" s="51">
        <f>B55</f>
        <v>0</v>
      </c>
      <c r="C64" s="51">
        <f t="shared" ref="C64:H64" si="6">C55</f>
        <v>0</v>
      </c>
      <c r="D64" s="51">
        <f t="shared" si="6"/>
        <v>0</v>
      </c>
      <c r="E64" s="51">
        <f t="shared" si="6"/>
        <v>0</v>
      </c>
      <c r="F64" s="51">
        <f t="shared" si="6"/>
        <v>0</v>
      </c>
      <c r="G64" s="51">
        <f t="shared" si="6"/>
        <v>0</v>
      </c>
      <c r="H64" s="51">
        <f t="shared" si="6"/>
        <v>0</v>
      </c>
      <c r="K64" s="425"/>
      <c r="L64" s="425"/>
      <c r="W64" s="29"/>
      <c r="X64" s="29"/>
      <c r="Y64" s="29"/>
      <c r="Z64" s="29"/>
      <c r="AA64" s="29"/>
      <c r="AB64" s="29"/>
      <c r="AC64" s="29"/>
      <c r="AD64" s="29"/>
      <c r="AE64" s="29"/>
      <c r="AF64" s="29"/>
    </row>
    <row r="65" spans="1:32" x14ac:dyDescent="0.2">
      <c r="A65" s="50" t="s">
        <v>253</v>
      </c>
      <c r="B65" s="51">
        <f>B57</f>
        <v>0</v>
      </c>
      <c r="C65" s="51">
        <f t="shared" ref="C65:H65" si="7">C57</f>
        <v>0</v>
      </c>
      <c r="D65" s="51">
        <f t="shared" si="7"/>
        <v>0</v>
      </c>
      <c r="E65" s="51">
        <f t="shared" si="7"/>
        <v>0</v>
      </c>
      <c r="F65" s="51">
        <f t="shared" si="7"/>
        <v>0</v>
      </c>
      <c r="G65" s="51">
        <f t="shared" si="7"/>
        <v>0</v>
      </c>
      <c r="H65" s="51">
        <f t="shared" si="7"/>
        <v>0</v>
      </c>
      <c r="W65" s="29"/>
      <c r="X65" s="29"/>
      <c r="Y65" s="29"/>
      <c r="Z65" s="29"/>
      <c r="AA65" s="29"/>
      <c r="AB65" s="29"/>
      <c r="AC65" s="29"/>
      <c r="AD65" s="29"/>
      <c r="AE65" s="29"/>
      <c r="AF65" s="29"/>
    </row>
    <row r="66" spans="1:32" x14ac:dyDescent="0.2">
      <c r="A66" s="270" t="s">
        <v>254</v>
      </c>
      <c r="B66" s="51">
        <f t="shared" ref="B66:H66" si="8">SUM(B60:B65)</f>
        <v>30272.080000000002</v>
      </c>
      <c r="C66" s="51">
        <f t="shared" si="8"/>
        <v>533645.64</v>
      </c>
      <c r="D66" s="51">
        <f t="shared" si="8"/>
        <v>332227.19238887564</v>
      </c>
      <c r="E66" s="51">
        <f t="shared" si="8"/>
        <v>523465</v>
      </c>
      <c r="F66" s="51">
        <f t="shared" si="8"/>
        <v>0</v>
      </c>
      <c r="G66" s="51">
        <f t="shared" si="8"/>
        <v>0</v>
      </c>
      <c r="H66" s="51">
        <f t="shared" si="8"/>
        <v>0</v>
      </c>
      <c r="W66" s="29"/>
      <c r="X66" s="29"/>
      <c r="Y66" s="29"/>
      <c r="Z66" s="29"/>
      <c r="AA66" s="29"/>
      <c r="AB66" s="29"/>
      <c r="AC66" s="29"/>
      <c r="AD66" s="29"/>
      <c r="AE66" s="29"/>
      <c r="AF66" s="29"/>
    </row>
    <row r="67" spans="1:32" x14ac:dyDescent="0.2">
      <c r="A67" s="591" t="s">
        <v>255</v>
      </c>
      <c r="B67" s="592"/>
      <c r="C67" s="592"/>
      <c r="D67" s="592"/>
      <c r="E67" s="592"/>
      <c r="F67" s="592"/>
      <c r="G67" s="592"/>
      <c r="H67" s="593"/>
      <c r="W67" s="29"/>
      <c r="X67" s="29"/>
      <c r="Y67" s="29"/>
      <c r="Z67" s="29"/>
      <c r="AA67" s="29"/>
      <c r="AB67" s="29"/>
      <c r="AC67" s="29"/>
      <c r="AD67" s="29"/>
      <c r="AE67" s="29"/>
      <c r="AF67" s="29"/>
    </row>
    <row r="68" spans="1:32" ht="41.25" customHeight="1" x14ac:dyDescent="0.2">
      <c r="A68" s="45" t="s">
        <v>372</v>
      </c>
      <c r="B68" s="51">
        <f>B50-B62</f>
        <v>0</v>
      </c>
      <c r="C68" s="51">
        <v>0</v>
      </c>
      <c r="D68" s="51">
        <v>0</v>
      </c>
      <c r="E68" s="51">
        <f>ROUND(E50*'Kopējie pieņēmumi'!C$14-E62,2)</f>
        <v>0</v>
      </c>
      <c r="F68" s="51">
        <f>ROUND(F50*'Kopējie pieņēmumi'!D$14-F62,2)</f>
        <v>0</v>
      </c>
      <c r="G68" s="51">
        <f>ROUND(G50*'Kopējie pieņēmumi'!E$14-G62,2)</f>
        <v>0</v>
      </c>
      <c r="H68" s="51">
        <f>ROUND(H50*'Kopējie pieņēmumi'!F$14-H62,2)</f>
        <v>0</v>
      </c>
      <c r="W68" s="29"/>
      <c r="X68" s="29"/>
      <c r="Y68" s="29"/>
      <c r="Z68" s="29"/>
      <c r="AA68" s="29"/>
      <c r="AB68" s="29"/>
      <c r="AC68" s="29"/>
      <c r="AD68" s="29"/>
      <c r="AE68" s="29"/>
      <c r="AF68" s="29"/>
    </row>
    <row r="69" spans="1:32" x14ac:dyDescent="0.2">
      <c r="A69" s="50" t="s">
        <v>256</v>
      </c>
      <c r="B69" s="51">
        <f>B49</f>
        <v>0</v>
      </c>
      <c r="C69" s="51">
        <f t="shared" ref="C69:H69" si="9">C49</f>
        <v>22272.93</v>
      </c>
      <c r="D69" s="51">
        <f t="shared" si="9"/>
        <v>12701.627611124361</v>
      </c>
      <c r="E69" s="51">
        <f t="shared" si="9"/>
        <v>0</v>
      </c>
      <c r="F69" s="51">
        <f t="shared" si="9"/>
        <v>0</v>
      </c>
      <c r="G69" s="51">
        <f t="shared" si="9"/>
        <v>0</v>
      </c>
      <c r="H69" s="51">
        <f t="shared" si="9"/>
        <v>0</v>
      </c>
      <c r="W69" s="29"/>
      <c r="X69" s="29"/>
      <c r="Y69" s="29"/>
      <c r="Z69" s="29"/>
      <c r="AA69" s="29"/>
      <c r="AB69" s="29"/>
      <c r="AC69" s="29"/>
      <c r="AD69" s="29"/>
      <c r="AE69" s="29"/>
      <c r="AF69" s="29"/>
    </row>
    <row r="70" spans="1:32" ht="25.5" x14ac:dyDescent="0.2">
      <c r="A70" s="30" t="s">
        <v>167</v>
      </c>
      <c r="B70" s="51">
        <f>B52</f>
        <v>1438.75</v>
      </c>
      <c r="C70" s="51">
        <f t="shared" ref="C70:H70" si="10">C52</f>
        <v>384.4</v>
      </c>
      <c r="D70" s="51">
        <f t="shared" si="10"/>
        <v>591.65</v>
      </c>
      <c r="E70" s="51">
        <f t="shared" si="10"/>
        <v>0</v>
      </c>
      <c r="F70" s="51">
        <f t="shared" si="10"/>
        <v>0</v>
      </c>
      <c r="G70" s="51">
        <f t="shared" si="10"/>
        <v>0</v>
      </c>
      <c r="H70" s="51">
        <f t="shared" si="10"/>
        <v>0</v>
      </c>
      <c r="W70" s="29"/>
      <c r="X70" s="29"/>
      <c r="Y70" s="29"/>
      <c r="Z70" s="29"/>
      <c r="AA70" s="29"/>
      <c r="AB70" s="29"/>
      <c r="AC70" s="29"/>
      <c r="AD70" s="29"/>
      <c r="AE70" s="29"/>
      <c r="AF70" s="29"/>
    </row>
    <row r="71" spans="1:32" x14ac:dyDescent="0.2">
      <c r="A71" s="30" t="s">
        <v>173</v>
      </c>
      <c r="B71" s="51">
        <f>B53</f>
        <v>3627.59</v>
      </c>
      <c r="C71" s="51">
        <f t="shared" ref="C71:H71" si="11">C53</f>
        <v>0</v>
      </c>
      <c r="D71" s="51">
        <f t="shared" si="11"/>
        <v>4582.21</v>
      </c>
      <c r="E71" s="51">
        <f t="shared" si="11"/>
        <v>0</v>
      </c>
      <c r="F71" s="51">
        <f t="shared" si="11"/>
        <v>0</v>
      </c>
      <c r="G71" s="51">
        <f t="shared" si="11"/>
        <v>0</v>
      </c>
      <c r="H71" s="51">
        <f t="shared" si="11"/>
        <v>0</v>
      </c>
      <c r="W71" s="29"/>
      <c r="X71" s="29"/>
      <c r="Y71" s="29"/>
      <c r="Z71" s="29"/>
      <c r="AA71" s="29"/>
      <c r="AB71" s="29"/>
      <c r="AC71" s="29"/>
      <c r="AD71" s="29"/>
      <c r="AE71" s="29"/>
      <c r="AF71" s="29"/>
    </row>
    <row r="72" spans="1:32" x14ac:dyDescent="0.2">
      <c r="A72" s="30" t="s">
        <v>174</v>
      </c>
      <c r="B72" s="51">
        <f>B54</f>
        <v>172.41</v>
      </c>
      <c r="C72" s="51">
        <f t="shared" ref="C72:H72" si="12">C54</f>
        <v>0</v>
      </c>
      <c r="D72" s="51">
        <f t="shared" si="12"/>
        <v>217.79</v>
      </c>
      <c r="E72" s="51">
        <f t="shared" si="12"/>
        <v>0</v>
      </c>
      <c r="F72" s="51">
        <f t="shared" si="12"/>
        <v>0</v>
      </c>
      <c r="G72" s="51">
        <f t="shared" si="12"/>
        <v>0</v>
      </c>
      <c r="H72" s="51">
        <f t="shared" si="12"/>
        <v>0</v>
      </c>
      <c r="W72" s="29"/>
      <c r="X72" s="29"/>
      <c r="Y72" s="29"/>
      <c r="Z72" s="29"/>
      <c r="AA72" s="29"/>
      <c r="AB72" s="29"/>
      <c r="AC72" s="29"/>
      <c r="AD72" s="29"/>
      <c r="AE72" s="29"/>
      <c r="AF72" s="29"/>
    </row>
    <row r="73" spans="1:32" ht="14.25" customHeight="1" x14ac:dyDescent="0.2">
      <c r="A73" s="50" t="s">
        <v>250</v>
      </c>
      <c r="B73" s="51">
        <f>B56</f>
        <v>0</v>
      </c>
      <c r="C73" s="51">
        <f t="shared" ref="C73:H73" si="13">C56</f>
        <v>0</v>
      </c>
      <c r="D73" s="51">
        <f t="shared" si="13"/>
        <v>0</v>
      </c>
      <c r="E73" s="51">
        <f t="shared" si="13"/>
        <v>0</v>
      </c>
      <c r="F73" s="51">
        <f t="shared" si="13"/>
        <v>0</v>
      </c>
      <c r="G73" s="51">
        <f t="shared" si="13"/>
        <v>0</v>
      </c>
      <c r="H73" s="51">
        <f t="shared" si="13"/>
        <v>0</v>
      </c>
      <c r="W73" s="29"/>
      <c r="X73" s="29"/>
      <c r="Y73" s="29"/>
      <c r="Z73" s="29"/>
      <c r="AA73" s="29"/>
      <c r="AB73" s="29"/>
      <c r="AC73" s="29"/>
      <c r="AD73" s="29"/>
      <c r="AE73" s="29"/>
      <c r="AF73" s="29"/>
    </row>
    <row r="74" spans="1:32" x14ac:dyDescent="0.2">
      <c r="A74" s="50" t="s">
        <v>257</v>
      </c>
      <c r="B74" s="51">
        <f t="shared" ref="B74:H74" si="14">ROUND(SUM(B60:B64,B68:B73)*0.21-B65,2)</f>
        <v>7457.27</v>
      </c>
      <c r="C74" s="51">
        <f t="shared" si="14"/>
        <v>116823.62</v>
      </c>
      <c r="D74" s="51">
        <f t="shared" si="14"/>
        <v>73567.3</v>
      </c>
      <c r="E74" s="51">
        <f t="shared" si="14"/>
        <v>109927.65</v>
      </c>
      <c r="F74" s="51">
        <f t="shared" si="14"/>
        <v>0</v>
      </c>
      <c r="G74" s="51">
        <f t="shared" si="14"/>
        <v>0</v>
      </c>
      <c r="H74" s="51">
        <f t="shared" si="14"/>
        <v>0</v>
      </c>
      <c r="W74" s="29"/>
      <c r="X74" s="29"/>
      <c r="Y74" s="29"/>
      <c r="Z74" s="29"/>
      <c r="AA74" s="29"/>
      <c r="AB74" s="29"/>
      <c r="AC74" s="29"/>
      <c r="AD74" s="29"/>
      <c r="AE74" s="29"/>
      <c r="AF74" s="29"/>
    </row>
    <row r="75" spans="1:32" x14ac:dyDescent="0.2">
      <c r="A75" s="50" t="s">
        <v>258</v>
      </c>
      <c r="B75" s="51">
        <f t="shared" ref="B75:H75" si="15">SUM(B68:B74)</f>
        <v>12696.02</v>
      </c>
      <c r="C75" s="51">
        <f t="shared" si="15"/>
        <v>139480.95000000001</v>
      </c>
      <c r="D75" s="51">
        <f t="shared" si="15"/>
        <v>91660.577611124361</v>
      </c>
      <c r="E75" s="51">
        <f t="shared" si="15"/>
        <v>109927.65</v>
      </c>
      <c r="F75" s="51">
        <f t="shared" si="15"/>
        <v>0</v>
      </c>
      <c r="G75" s="51">
        <f t="shared" si="15"/>
        <v>0</v>
      </c>
      <c r="H75" s="51">
        <f t="shared" si="15"/>
        <v>0</v>
      </c>
      <c r="J75" s="10"/>
      <c r="W75" s="29"/>
      <c r="X75" s="29"/>
      <c r="Y75" s="29"/>
      <c r="Z75" s="29"/>
      <c r="AA75" s="29"/>
      <c r="AB75" s="29"/>
      <c r="AC75" s="29"/>
      <c r="AD75" s="29"/>
      <c r="AE75" s="29"/>
      <c r="AF75" s="29"/>
    </row>
    <row r="76" spans="1:32" x14ac:dyDescent="0.2">
      <c r="B76" s="32"/>
      <c r="C76" s="32"/>
      <c r="D76" s="32"/>
      <c r="E76" s="32"/>
      <c r="F76" s="32"/>
      <c r="W76" s="29"/>
      <c r="X76" s="29"/>
      <c r="Y76" s="29"/>
      <c r="Z76" s="29"/>
      <c r="AA76" s="29"/>
      <c r="AB76" s="29"/>
      <c r="AC76" s="29"/>
      <c r="AD76" s="29"/>
      <c r="AE76" s="29"/>
      <c r="AF76" s="29"/>
    </row>
    <row r="77" spans="1:32" x14ac:dyDescent="0.2">
      <c r="A77" s="590" t="s">
        <v>259</v>
      </c>
      <c r="B77" s="590"/>
      <c r="C77" s="29"/>
      <c r="D77" s="29"/>
      <c r="E77" s="29"/>
      <c r="F77" s="29"/>
      <c r="G77" s="29"/>
      <c r="P77" s="29"/>
      <c r="Q77" s="29"/>
      <c r="R77" s="29"/>
      <c r="S77" s="29"/>
      <c r="T77" s="29"/>
      <c r="U77" s="29"/>
      <c r="V77" s="29"/>
      <c r="W77" s="29"/>
      <c r="X77" s="29"/>
      <c r="Y77" s="29"/>
    </row>
    <row r="78" spans="1:32" x14ac:dyDescent="0.2">
      <c r="B78" s="44">
        <f>B124</f>
        <v>2017</v>
      </c>
      <c r="C78" s="650"/>
      <c r="D78" s="650"/>
      <c r="E78" s="650"/>
      <c r="F78" s="650"/>
      <c r="G78" s="52"/>
      <c r="H78" s="52"/>
      <c r="W78" s="29"/>
      <c r="X78" s="29"/>
      <c r="Y78" s="29"/>
      <c r="Z78" s="29"/>
      <c r="AA78" s="29"/>
      <c r="AB78" s="29"/>
      <c r="AC78" s="29"/>
      <c r="AD78" s="29"/>
      <c r="AE78" s="29"/>
      <c r="AF78" s="29"/>
    </row>
    <row r="79" spans="1:32" x14ac:dyDescent="0.2">
      <c r="A79" s="53" t="s">
        <v>260</v>
      </c>
      <c r="B79" s="738">
        <v>10319</v>
      </c>
      <c r="C79" s="52"/>
      <c r="D79" s="52"/>
      <c r="E79" s="52"/>
      <c r="F79" s="52"/>
      <c r="G79" s="52"/>
      <c r="H79" s="52"/>
      <c r="I79" s="52"/>
      <c r="W79" s="29"/>
      <c r="X79" s="29"/>
      <c r="Y79" s="29"/>
      <c r="Z79" s="29"/>
      <c r="AA79" s="29"/>
      <c r="AB79" s="29"/>
      <c r="AC79" s="29"/>
      <c r="AD79" s="29"/>
      <c r="AE79" s="29"/>
      <c r="AF79" s="29"/>
    </row>
    <row r="80" spans="1:32" x14ac:dyDescent="0.2">
      <c r="A80" s="53" t="s">
        <v>261</v>
      </c>
      <c r="B80" s="738">
        <v>9310</v>
      </c>
      <c r="C80" s="52"/>
      <c r="D80" s="52"/>
      <c r="E80" s="52"/>
      <c r="F80" s="52"/>
      <c r="G80" s="52"/>
      <c r="H80" s="52"/>
      <c r="I80" s="52"/>
      <c r="W80" s="29"/>
      <c r="X80" s="29"/>
      <c r="Y80" s="29"/>
      <c r="Z80" s="29"/>
      <c r="AA80" s="29"/>
      <c r="AB80" s="29"/>
      <c r="AC80" s="29"/>
      <c r="AD80" s="29"/>
      <c r="AE80" s="29"/>
      <c r="AF80" s="29"/>
    </row>
    <row r="81" spans="1:32" x14ac:dyDescent="0.2">
      <c r="A81" s="54" t="s">
        <v>262</v>
      </c>
      <c r="B81" s="743">
        <f>226315/B80/365*1000</f>
        <v>66.599473242793877</v>
      </c>
      <c r="C81" s="52"/>
      <c r="D81" s="52"/>
      <c r="E81" s="52"/>
      <c r="F81" s="52"/>
      <c r="G81" s="52"/>
      <c r="H81" s="52"/>
      <c r="I81" s="52"/>
      <c r="W81" s="29"/>
      <c r="X81" s="29"/>
      <c r="Y81" s="29"/>
      <c r="Z81" s="29"/>
      <c r="AA81" s="29"/>
      <c r="AB81" s="29"/>
      <c r="AC81" s="29"/>
      <c r="AD81" s="29"/>
      <c r="AE81" s="29"/>
      <c r="AF81" s="29"/>
    </row>
    <row r="82" spans="1:32" ht="14.25" x14ac:dyDescent="0.2">
      <c r="A82" s="30" t="s">
        <v>263</v>
      </c>
      <c r="B82" s="703">
        <v>26144</v>
      </c>
      <c r="C82" s="52"/>
      <c r="D82" s="52"/>
      <c r="E82" s="52"/>
      <c r="F82" s="52"/>
      <c r="G82" s="52"/>
      <c r="H82" s="52"/>
      <c r="I82" s="52"/>
      <c r="W82" s="29"/>
      <c r="X82" s="29"/>
      <c r="Y82" s="29"/>
      <c r="Z82" s="29"/>
      <c r="AA82" s="29"/>
      <c r="AB82" s="29"/>
      <c r="AC82" s="29"/>
      <c r="AD82" s="29"/>
      <c r="AE82" s="29"/>
      <c r="AF82" s="29"/>
    </row>
    <row r="83" spans="1:32" ht="14.25" x14ac:dyDescent="0.2">
      <c r="A83" s="55" t="s">
        <v>264</v>
      </c>
      <c r="B83" s="704">
        <v>91735</v>
      </c>
      <c r="C83" s="52"/>
      <c r="D83" s="52"/>
      <c r="E83" s="52"/>
      <c r="F83" s="52"/>
      <c r="G83" s="52"/>
      <c r="H83" s="52"/>
      <c r="I83" s="52"/>
      <c r="W83" s="29"/>
      <c r="X83" s="29"/>
      <c r="Y83" s="29"/>
      <c r="Z83" s="29"/>
      <c r="AA83" s="29"/>
      <c r="AB83" s="29"/>
      <c r="AC83" s="29"/>
      <c r="AD83" s="29"/>
      <c r="AE83" s="29"/>
      <c r="AF83" s="29"/>
    </row>
    <row r="84" spans="1:32" x14ac:dyDescent="0.2">
      <c r="A84" s="30" t="s">
        <v>265</v>
      </c>
      <c r="B84" s="56">
        <f>B80/B79</f>
        <v>0.90221920728752791</v>
      </c>
      <c r="C84" s="52"/>
      <c r="D84" s="52"/>
      <c r="E84" s="52"/>
      <c r="F84" s="52"/>
      <c r="G84" s="52"/>
      <c r="H84" s="52"/>
      <c r="I84" s="52"/>
      <c r="W84" s="29"/>
      <c r="X84" s="29"/>
      <c r="Y84" s="29"/>
      <c r="Z84" s="29"/>
      <c r="AA84" s="29"/>
      <c r="AB84" s="29"/>
      <c r="AC84" s="29"/>
      <c r="AD84" s="29"/>
      <c r="AE84" s="29"/>
      <c r="AF84" s="29"/>
    </row>
    <row r="85" spans="1:32" x14ac:dyDescent="0.2">
      <c r="A85" s="53" t="s">
        <v>266</v>
      </c>
      <c r="B85" s="740">
        <v>11565</v>
      </c>
      <c r="C85" s="52"/>
      <c r="D85" s="52"/>
      <c r="E85" s="52"/>
      <c r="F85" s="52"/>
      <c r="G85" s="52"/>
      <c r="H85" s="52"/>
      <c r="I85" s="52"/>
      <c r="W85" s="29"/>
      <c r="X85" s="29"/>
      <c r="Y85" s="29"/>
      <c r="Z85" s="29"/>
      <c r="AA85" s="29"/>
      <c r="AB85" s="29"/>
      <c r="AC85" s="29"/>
      <c r="AD85" s="29"/>
      <c r="AE85" s="29"/>
      <c r="AF85" s="29"/>
    </row>
    <row r="86" spans="1:32" x14ac:dyDescent="0.2">
      <c r="A86" s="57" t="s">
        <v>267</v>
      </c>
      <c r="B86" s="741">
        <f>10319+77+61</f>
        <v>10457</v>
      </c>
      <c r="C86" s="52"/>
      <c r="D86" s="52"/>
      <c r="E86" s="52"/>
      <c r="F86" s="52"/>
      <c r="G86" s="52"/>
      <c r="H86" s="52"/>
      <c r="I86" s="52"/>
      <c r="W86" s="29"/>
      <c r="X86" s="29"/>
      <c r="Y86" s="29"/>
      <c r="Z86" s="29"/>
      <c r="AA86" s="29"/>
      <c r="AB86" s="29"/>
      <c r="AC86" s="29"/>
      <c r="AD86" s="29"/>
      <c r="AE86" s="29"/>
      <c r="AF86" s="29"/>
    </row>
    <row r="87" spans="1:32" x14ac:dyDescent="0.2">
      <c r="A87" s="57" t="s">
        <v>268</v>
      </c>
      <c r="B87" s="744">
        <f>228365/B86/365*1000</f>
        <v>59.83145589046336</v>
      </c>
      <c r="C87" s="52"/>
      <c r="D87" s="52"/>
      <c r="E87" s="52"/>
      <c r="F87" s="52"/>
      <c r="G87" s="52"/>
      <c r="H87" s="52"/>
      <c r="I87" s="52"/>
      <c r="W87" s="29"/>
      <c r="X87" s="29"/>
      <c r="Y87" s="29"/>
      <c r="Z87" s="29"/>
      <c r="AA87" s="29"/>
      <c r="AB87" s="29"/>
      <c r="AC87" s="29"/>
      <c r="AD87" s="29"/>
      <c r="AE87" s="29"/>
      <c r="AF87" s="29"/>
    </row>
    <row r="88" spans="1:32" ht="14.25" x14ac:dyDescent="0.2">
      <c r="A88" s="57" t="s">
        <v>269</v>
      </c>
      <c r="B88" s="705">
        <v>25184</v>
      </c>
      <c r="C88" s="52"/>
      <c r="D88" s="52"/>
      <c r="E88" s="52"/>
      <c r="F88" s="52"/>
      <c r="G88" s="52"/>
      <c r="H88" s="52"/>
      <c r="I88" s="52"/>
      <c r="W88" s="29"/>
      <c r="X88" s="29"/>
      <c r="Y88" s="29"/>
      <c r="Z88" s="29"/>
      <c r="AA88" s="29"/>
      <c r="AB88" s="29"/>
      <c r="AC88" s="29"/>
      <c r="AD88" s="29"/>
      <c r="AE88" s="29"/>
      <c r="AF88" s="29"/>
    </row>
    <row r="89" spans="1:32" ht="14.25" x14ac:dyDescent="0.2">
      <c r="A89" s="57" t="s">
        <v>270</v>
      </c>
      <c r="B89" s="705">
        <v>73343</v>
      </c>
      <c r="C89" s="52"/>
      <c r="D89" s="52"/>
      <c r="E89" s="52"/>
      <c r="F89" s="52"/>
      <c r="G89" s="52"/>
      <c r="H89" s="52"/>
      <c r="I89" s="52"/>
      <c r="W89" s="29"/>
      <c r="X89" s="29"/>
      <c r="Y89" s="29"/>
      <c r="Z89" s="29"/>
      <c r="AA89" s="29"/>
      <c r="AB89" s="29"/>
      <c r="AC89" s="29"/>
      <c r="AD89" s="29"/>
      <c r="AE89" s="29"/>
      <c r="AF89" s="29"/>
    </row>
    <row r="90" spans="1:32" x14ac:dyDescent="0.2">
      <c r="A90" s="30" t="s">
        <v>265</v>
      </c>
      <c r="B90" s="56">
        <f>B86/B85</f>
        <v>0.90419368785127541</v>
      </c>
      <c r="C90" s="52"/>
      <c r="D90" s="52"/>
      <c r="E90" s="52"/>
      <c r="F90" s="52"/>
      <c r="G90" s="52"/>
      <c r="H90" s="52"/>
      <c r="I90" s="52"/>
      <c r="W90" s="29"/>
      <c r="X90" s="29"/>
      <c r="Y90" s="29"/>
      <c r="Z90" s="29"/>
      <c r="AA90" s="29"/>
      <c r="AB90" s="29"/>
      <c r="AC90" s="29"/>
      <c r="AD90" s="29"/>
      <c r="AE90" s="29"/>
      <c r="AF90" s="29"/>
    </row>
    <row r="91" spans="1:32" x14ac:dyDescent="0.2">
      <c r="A91" s="28"/>
      <c r="B91" s="52"/>
      <c r="C91" s="52"/>
      <c r="D91" s="52"/>
      <c r="E91" s="52"/>
      <c r="F91" s="52"/>
      <c r="G91" s="52"/>
      <c r="H91" s="52"/>
      <c r="I91" s="52"/>
      <c r="W91" s="29"/>
      <c r="X91" s="29"/>
      <c r="Y91" s="29"/>
      <c r="Z91" s="29"/>
      <c r="AA91" s="29"/>
      <c r="AB91" s="29"/>
      <c r="AC91" s="29"/>
      <c r="AD91" s="29"/>
      <c r="AE91" s="29"/>
      <c r="AF91" s="29"/>
    </row>
    <row r="92" spans="1:32" x14ac:dyDescent="0.2">
      <c r="A92" s="50"/>
      <c r="B92" s="44">
        <v>2018</v>
      </c>
      <c r="C92" s="44">
        <f t="shared" ref="C92:H92" si="16">B92+1</f>
        <v>2019</v>
      </c>
      <c r="D92" s="44">
        <f t="shared" si="16"/>
        <v>2020</v>
      </c>
      <c r="E92" s="44">
        <f t="shared" si="16"/>
        <v>2021</v>
      </c>
      <c r="F92" s="44">
        <f t="shared" si="16"/>
        <v>2022</v>
      </c>
      <c r="G92" s="44">
        <f t="shared" si="16"/>
        <v>2023</v>
      </c>
      <c r="H92" s="44">
        <f t="shared" si="16"/>
        <v>2024</v>
      </c>
      <c r="W92" s="29"/>
      <c r="X92" s="29"/>
      <c r="Y92" s="29"/>
      <c r="Z92" s="29"/>
      <c r="AA92" s="29"/>
      <c r="AB92" s="29"/>
      <c r="AC92" s="29"/>
      <c r="AD92" s="29"/>
      <c r="AE92" s="29"/>
      <c r="AF92" s="29"/>
    </row>
    <row r="93" spans="1:32" x14ac:dyDescent="0.2">
      <c r="A93" s="57" t="s">
        <v>260</v>
      </c>
      <c r="B93" s="740">
        <v>10319</v>
      </c>
      <c r="C93" s="740">
        <v>10319</v>
      </c>
      <c r="D93" s="740">
        <v>10319</v>
      </c>
      <c r="E93" s="740">
        <v>10319</v>
      </c>
      <c r="F93" s="740">
        <v>10319</v>
      </c>
      <c r="G93" s="740">
        <v>10319</v>
      </c>
      <c r="H93" s="740">
        <v>10319</v>
      </c>
      <c r="W93" s="29"/>
      <c r="X93" s="29"/>
      <c r="Y93" s="29"/>
      <c r="Z93" s="29"/>
      <c r="AA93" s="29"/>
      <c r="AB93" s="29"/>
      <c r="AC93" s="29"/>
      <c r="AD93" s="29"/>
      <c r="AE93" s="29"/>
      <c r="AF93" s="29"/>
    </row>
    <row r="94" spans="1:32" x14ac:dyDescent="0.2">
      <c r="A94" s="57" t="s">
        <v>261</v>
      </c>
      <c r="B94" s="322">
        <f>B80+B100+B101+B102</f>
        <v>9324</v>
      </c>
      <c r="C94" s="322">
        <f t="shared" ref="C94:H94" si="17">B94+C100+C101+C102</f>
        <v>9352</v>
      </c>
      <c r="D94" s="322">
        <f t="shared" si="17"/>
        <v>9408</v>
      </c>
      <c r="E94" s="322">
        <f t="shared" si="17"/>
        <v>9446</v>
      </c>
      <c r="F94" s="322">
        <f t="shared" si="17"/>
        <v>9484</v>
      </c>
      <c r="G94" s="322">
        <f t="shared" si="17"/>
        <v>9484</v>
      </c>
      <c r="H94" s="322">
        <f t="shared" si="17"/>
        <v>9484</v>
      </c>
      <c r="W94" s="29"/>
      <c r="X94" s="29"/>
      <c r="Y94" s="29"/>
      <c r="Z94" s="29"/>
      <c r="AA94" s="29"/>
      <c r="AB94" s="29"/>
      <c r="AC94" s="29"/>
      <c r="AD94" s="29"/>
      <c r="AE94" s="29"/>
      <c r="AF94" s="29"/>
    </row>
    <row r="95" spans="1:32" x14ac:dyDescent="0.2">
      <c r="A95" s="30" t="s">
        <v>262</v>
      </c>
      <c r="B95" s="743">
        <f>B81</f>
        <v>66.599473242793877</v>
      </c>
      <c r="C95" s="743">
        <f t="shared" ref="C95:H95" si="18">B95</f>
        <v>66.599473242793877</v>
      </c>
      <c r="D95" s="743">
        <f t="shared" si="18"/>
        <v>66.599473242793877</v>
      </c>
      <c r="E95" s="743">
        <f t="shared" si="18"/>
        <v>66.599473242793877</v>
      </c>
      <c r="F95" s="743">
        <f t="shared" si="18"/>
        <v>66.599473242793877</v>
      </c>
      <c r="G95" s="743">
        <f t="shared" si="18"/>
        <v>66.599473242793877</v>
      </c>
      <c r="H95" s="743">
        <f t="shared" si="18"/>
        <v>66.599473242793877</v>
      </c>
      <c r="W95" s="29"/>
      <c r="X95" s="29"/>
      <c r="Y95" s="29"/>
      <c r="Z95" s="29"/>
      <c r="AA95" s="29"/>
      <c r="AB95" s="29"/>
      <c r="AC95" s="29"/>
      <c r="AD95" s="29"/>
      <c r="AE95" s="29"/>
      <c r="AF95" s="29"/>
    </row>
    <row r="96" spans="1:32" ht="14.25" x14ac:dyDescent="0.2">
      <c r="A96" s="30" t="s">
        <v>271</v>
      </c>
      <c r="B96" s="321">
        <f>B95*B94*365/1000</f>
        <v>226655.32330827069</v>
      </c>
      <c r="C96" s="321">
        <f t="shared" ref="C96:H96" si="19">C95*C94*365/1000</f>
        <v>227335.96992481206</v>
      </c>
      <c r="D96" s="321">
        <f t="shared" si="19"/>
        <v>228697.26315789472</v>
      </c>
      <c r="E96" s="321">
        <f t="shared" si="19"/>
        <v>229620.99785177232</v>
      </c>
      <c r="F96" s="321">
        <f t="shared" si="19"/>
        <v>230544.73254564987</v>
      </c>
      <c r="G96" s="321">
        <f t="shared" si="19"/>
        <v>230544.73254564987</v>
      </c>
      <c r="H96" s="321">
        <f t="shared" si="19"/>
        <v>230544.73254564987</v>
      </c>
      <c r="W96" s="29"/>
      <c r="X96" s="29"/>
      <c r="Y96" s="29"/>
      <c r="Z96" s="29"/>
      <c r="AA96" s="29"/>
      <c r="AB96" s="29"/>
      <c r="AC96" s="29"/>
      <c r="AD96" s="29"/>
      <c r="AE96" s="29"/>
      <c r="AF96" s="29"/>
    </row>
    <row r="97" spans="1:32" ht="14.25" x14ac:dyDescent="0.2">
      <c r="A97" s="30" t="s">
        <v>263</v>
      </c>
      <c r="B97" s="723">
        <f>B82</f>
        <v>26144</v>
      </c>
      <c r="C97" s="723">
        <f t="shared" ref="C97:H98" si="20">B97</f>
        <v>26144</v>
      </c>
      <c r="D97" s="723">
        <f t="shared" si="20"/>
        <v>26144</v>
      </c>
      <c r="E97" s="723">
        <f t="shared" si="20"/>
        <v>26144</v>
      </c>
      <c r="F97" s="723">
        <f t="shared" si="20"/>
        <v>26144</v>
      </c>
      <c r="G97" s="723">
        <f t="shared" si="20"/>
        <v>26144</v>
      </c>
      <c r="H97" s="723">
        <f t="shared" si="20"/>
        <v>26144</v>
      </c>
      <c r="W97" s="29"/>
      <c r="X97" s="29"/>
      <c r="Y97" s="29"/>
      <c r="Z97" s="29"/>
      <c r="AA97" s="29"/>
      <c r="AB97" s="29"/>
      <c r="AC97" s="29"/>
      <c r="AD97" s="29"/>
      <c r="AE97" s="29"/>
      <c r="AF97" s="29"/>
    </row>
    <row r="98" spans="1:32" ht="14.25" x14ac:dyDescent="0.2">
      <c r="A98" s="30" t="s">
        <v>272</v>
      </c>
      <c r="B98" s="723">
        <f>B83</f>
        <v>91735</v>
      </c>
      <c r="C98" s="723">
        <f t="shared" si="20"/>
        <v>91735</v>
      </c>
      <c r="D98" s="723">
        <f t="shared" si="20"/>
        <v>91735</v>
      </c>
      <c r="E98" s="723">
        <f t="shared" si="20"/>
        <v>91735</v>
      </c>
      <c r="F98" s="723">
        <f t="shared" si="20"/>
        <v>91735</v>
      </c>
      <c r="G98" s="723">
        <f t="shared" si="20"/>
        <v>91735</v>
      </c>
      <c r="H98" s="723">
        <f t="shared" si="20"/>
        <v>91735</v>
      </c>
      <c r="W98" s="29"/>
      <c r="X98" s="29"/>
      <c r="Y98" s="29"/>
      <c r="Z98" s="29"/>
      <c r="AA98" s="29"/>
      <c r="AB98" s="29"/>
      <c r="AC98" s="29"/>
      <c r="AD98" s="29"/>
      <c r="AE98" s="29"/>
      <c r="AF98" s="29"/>
    </row>
    <row r="99" spans="1:32" ht="14.25" x14ac:dyDescent="0.2">
      <c r="A99" s="30" t="s">
        <v>273</v>
      </c>
      <c r="B99" s="322">
        <f>B96+B97+B98</f>
        <v>344534.32330827066</v>
      </c>
      <c r="C99" s="322">
        <f t="shared" ref="C99:H99" si="21">C96+C97+C98</f>
        <v>345214.96992481209</v>
      </c>
      <c r="D99" s="322">
        <f t="shared" si="21"/>
        <v>346576.26315789472</v>
      </c>
      <c r="E99" s="322">
        <f t="shared" si="21"/>
        <v>347499.99785177235</v>
      </c>
      <c r="F99" s="322">
        <f t="shared" si="21"/>
        <v>348423.73254564987</v>
      </c>
      <c r="G99" s="322">
        <f t="shared" si="21"/>
        <v>348423.73254564987</v>
      </c>
      <c r="H99" s="322">
        <f t="shared" si="21"/>
        <v>348423.73254564987</v>
      </c>
      <c r="W99" s="29"/>
      <c r="X99" s="29"/>
      <c r="Y99" s="29"/>
      <c r="Z99" s="29"/>
      <c r="AA99" s="29"/>
      <c r="AB99" s="29"/>
      <c r="AC99" s="29"/>
      <c r="AD99" s="29"/>
      <c r="AE99" s="29"/>
      <c r="AF99" s="29"/>
    </row>
    <row r="100" spans="1:32" x14ac:dyDescent="0.2">
      <c r="A100" s="735" t="s">
        <v>171</v>
      </c>
      <c r="B100" s="739"/>
      <c r="C100" s="739"/>
      <c r="D100" s="739"/>
      <c r="E100" s="739"/>
      <c r="F100" s="739"/>
      <c r="G100" s="739"/>
      <c r="H100" s="739"/>
      <c r="W100" s="29"/>
      <c r="X100" s="29"/>
      <c r="Y100" s="29"/>
      <c r="Z100" s="29"/>
      <c r="AA100" s="29"/>
      <c r="AB100" s="29"/>
      <c r="AC100" s="29"/>
      <c r="AD100" s="29"/>
      <c r="AE100" s="29"/>
      <c r="AF100" s="29"/>
    </row>
    <row r="101" spans="1:32" x14ac:dyDescent="0.2">
      <c r="A101" s="30" t="s">
        <v>170</v>
      </c>
      <c r="B101" s="739"/>
      <c r="C101" s="739"/>
      <c r="D101" s="739">
        <v>24</v>
      </c>
      <c r="E101" s="739"/>
      <c r="F101" s="739"/>
      <c r="G101" s="739"/>
      <c r="H101" s="739"/>
      <c r="W101" s="29"/>
      <c r="X101" s="29"/>
      <c r="Y101" s="29"/>
      <c r="Z101" s="29"/>
      <c r="AA101" s="29"/>
      <c r="AB101" s="29"/>
      <c r="AC101" s="29"/>
      <c r="AD101" s="29"/>
      <c r="AE101" s="29"/>
      <c r="AF101" s="29"/>
    </row>
    <row r="102" spans="1:32" x14ac:dyDescent="0.2">
      <c r="A102" s="30" t="s">
        <v>275</v>
      </c>
      <c r="B102" s="739">
        <v>14</v>
      </c>
      <c r="C102" s="739">
        <v>28</v>
      </c>
      <c r="D102" s="739">
        <v>32</v>
      </c>
      <c r="E102" s="739">
        <v>38</v>
      </c>
      <c r="F102" s="739">
        <v>38</v>
      </c>
      <c r="G102" s="742"/>
      <c r="H102" s="742"/>
      <c r="W102" s="29"/>
      <c r="X102" s="29"/>
      <c r="Y102" s="29"/>
      <c r="Z102" s="29"/>
      <c r="AA102" s="29"/>
      <c r="AB102" s="29"/>
      <c r="AC102" s="29"/>
      <c r="AD102" s="29"/>
      <c r="AE102" s="29"/>
      <c r="AF102" s="29"/>
    </row>
    <row r="103" spans="1:32" ht="14.25" x14ac:dyDescent="0.2">
      <c r="A103" s="30" t="s">
        <v>276</v>
      </c>
      <c r="B103" s="320">
        <f t="shared" ref="B103:H103" si="22">B101*B95*365/1000</f>
        <v>0</v>
      </c>
      <c r="C103" s="320">
        <f t="shared" si="22"/>
        <v>0</v>
      </c>
      <c r="D103" s="320">
        <f t="shared" si="22"/>
        <v>583.41138560687432</v>
      </c>
      <c r="E103" s="320">
        <f t="shared" si="22"/>
        <v>0</v>
      </c>
      <c r="F103" s="320">
        <f t="shared" si="22"/>
        <v>0</v>
      </c>
      <c r="G103" s="320">
        <f t="shared" si="22"/>
        <v>0</v>
      </c>
      <c r="H103" s="320">
        <f t="shared" si="22"/>
        <v>0</v>
      </c>
      <c r="W103" s="29"/>
      <c r="X103" s="29"/>
      <c r="Y103" s="29"/>
      <c r="Z103" s="29"/>
      <c r="AA103" s="29"/>
      <c r="AB103" s="29"/>
      <c r="AC103" s="29"/>
      <c r="AD103" s="29"/>
      <c r="AE103" s="29"/>
      <c r="AF103" s="29"/>
    </row>
    <row r="104" spans="1:32" ht="14.25" x14ac:dyDescent="0.2">
      <c r="A104" s="30" t="s">
        <v>277</v>
      </c>
      <c r="B104" s="320">
        <f>B95*B102*365/1000</f>
        <v>340.3233082706767</v>
      </c>
      <c r="C104" s="320">
        <f t="shared" ref="C104:H104" si="23">C95*C102*365/1000</f>
        <v>680.64661654135341</v>
      </c>
      <c r="D104" s="320">
        <f t="shared" si="23"/>
        <v>777.8818474758325</v>
      </c>
      <c r="E104" s="320">
        <f t="shared" si="23"/>
        <v>923.73469387755097</v>
      </c>
      <c r="F104" s="320">
        <f t="shared" si="23"/>
        <v>923.73469387755097</v>
      </c>
      <c r="G104" s="320">
        <f t="shared" si="23"/>
        <v>0</v>
      </c>
      <c r="H104" s="320">
        <f t="shared" si="23"/>
        <v>0</v>
      </c>
      <c r="W104" s="29"/>
      <c r="X104" s="29"/>
      <c r="Y104" s="29"/>
      <c r="Z104" s="29"/>
      <c r="AA104" s="29"/>
      <c r="AB104" s="29"/>
      <c r="AC104" s="29"/>
      <c r="AD104" s="29"/>
      <c r="AE104" s="29"/>
      <c r="AF104" s="29"/>
    </row>
    <row r="105" spans="1:32" x14ac:dyDescent="0.2">
      <c r="A105" s="30" t="s">
        <v>278</v>
      </c>
      <c r="B105" s="58">
        <f>B94-B80</f>
        <v>14</v>
      </c>
      <c r="C105" s="58">
        <f t="shared" ref="C105:H105" si="24">C94-B94</f>
        <v>28</v>
      </c>
      <c r="D105" s="58">
        <f t="shared" si="24"/>
        <v>56</v>
      </c>
      <c r="E105" s="58">
        <f t="shared" si="24"/>
        <v>38</v>
      </c>
      <c r="F105" s="58">
        <f t="shared" si="24"/>
        <v>38</v>
      </c>
      <c r="G105" s="58">
        <f t="shared" si="24"/>
        <v>0</v>
      </c>
      <c r="H105" s="58">
        <f t="shared" si="24"/>
        <v>0</v>
      </c>
      <c r="W105" s="29"/>
      <c r="X105" s="29"/>
      <c r="Y105" s="29"/>
      <c r="Z105" s="29"/>
      <c r="AA105" s="29"/>
      <c r="AB105" s="29"/>
      <c r="AC105" s="29"/>
      <c r="AD105" s="29"/>
      <c r="AE105" s="29"/>
      <c r="AF105" s="29"/>
    </row>
    <row r="106" spans="1:32" x14ac:dyDescent="0.2">
      <c r="A106" s="30" t="s">
        <v>265</v>
      </c>
      <c r="B106" s="56">
        <f t="shared" ref="B106:H106" si="25">B94/B93</f>
        <v>0.90357592789999031</v>
      </c>
      <c r="C106" s="56">
        <f t="shared" si="25"/>
        <v>0.9062893691249152</v>
      </c>
      <c r="D106" s="56">
        <f t="shared" si="25"/>
        <v>0.91171625157476499</v>
      </c>
      <c r="E106" s="56">
        <f t="shared" si="25"/>
        <v>0.91539877895144883</v>
      </c>
      <c r="F106" s="56">
        <f t="shared" si="25"/>
        <v>0.91908130632813256</v>
      </c>
      <c r="G106" s="56">
        <f t="shared" si="25"/>
        <v>0.91908130632813256</v>
      </c>
      <c r="H106" s="56">
        <f t="shared" si="25"/>
        <v>0.91908130632813256</v>
      </c>
      <c r="W106" s="29"/>
      <c r="X106" s="29"/>
      <c r="Y106" s="29"/>
      <c r="Z106" s="29"/>
      <c r="AA106" s="29"/>
      <c r="AB106" s="29"/>
      <c r="AC106" s="29"/>
      <c r="AD106" s="29"/>
      <c r="AE106" s="29"/>
      <c r="AF106" s="29"/>
    </row>
    <row r="107" spans="1:32" x14ac:dyDescent="0.2">
      <c r="A107" s="57" t="s">
        <v>266</v>
      </c>
      <c r="B107" s="740">
        <v>11565</v>
      </c>
      <c r="C107" s="740">
        <v>11565</v>
      </c>
      <c r="D107" s="740">
        <v>11565</v>
      </c>
      <c r="E107" s="740">
        <v>11565</v>
      </c>
      <c r="F107" s="740">
        <v>11565</v>
      </c>
      <c r="G107" s="740">
        <v>11565</v>
      </c>
      <c r="H107" s="740">
        <v>11565</v>
      </c>
      <c r="W107" s="29"/>
      <c r="X107" s="29"/>
      <c r="Y107" s="29"/>
      <c r="Z107" s="29"/>
      <c r="AA107" s="29"/>
      <c r="AB107" s="29"/>
      <c r="AC107" s="29"/>
      <c r="AD107" s="29"/>
      <c r="AE107" s="29"/>
      <c r="AF107" s="29"/>
    </row>
    <row r="108" spans="1:32" x14ac:dyDescent="0.2">
      <c r="A108" s="57" t="s">
        <v>267</v>
      </c>
      <c r="B108" s="319">
        <f>B86+B114+B115+B116</f>
        <v>10535</v>
      </c>
      <c r="C108" s="319">
        <f t="shared" ref="C108:H108" si="26">B108+C116+C115+C114</f>
        <v>10653</v>
      </c>
      <c r="D108" s="319">
        <f t="shared" si="26"/>
        <v>10892</v>
      </c>
      <c r="E108" s="319">
        <f t="shared" si="26"/>
        <v>11131</v>
      </c>
      <c r="F108" s="319">
        <f t="shared" si="26"/>
        <v>11371</v>
      </c>
      <c r="G108" s="319">
        <f t="shared" si="26"/>
        <v>11371</v>
      </c>
      <c r="H108" s="319">
        <f t="shared" si="26"/>
        <v>11371</v>
      </c>
      <c r="W108" s="29"/>
      <c r="X108" s="29"/>
      <c r="Y108" s="29"/>
      <c r="Z108" s="29"/>
      <c r="AA108" s="29"/>
      <c r="AB108" s="29"/>
      <c r="AC108" s="29"/>
      <c r="AD108" s="29"/>
      <c r="AE108" s="29"/>
      <c r="AF108" s="29"/>
    </row>
    <row r="109" spans="1:32" x14ac:dyDescent="0.2">
      <c r="A109" s="57" t="s">
        <v>268</v>
      </c>
      <c r="B109" s="745">
        <f>B87</f>
        <v>59.83145589046336</v>
      </c>
      <c r="C109" s="745">
        <f t="shared" ref="C109:H109" si="27">B109</f>
        <v>59.83145589046336</v>
      </c>
      <c r="D109" s="745">
        <f t="shared" si="27"/>
        <v>59.83145589046336</v>
      </c>
      <c r="E109" s="745">
        <f t="shared" si="27"/>
        <v>59.83145589046336</v>
      </c>
      <c r="F109" s="745">
        <f t="shared" si="27"/>
        <v>59.83145589046336</v>
      </c>
      <c r="G109" s="745">
        <f t="shared" si="27"/>
        <v>59.83145589046336</v>
      </c>
      <c r="H109" s="745">
        <f t="shared" si="27"/>
        <v>59.83145589046336</v>
      </c>
      <c r="W109" s="29"/>
      <c r="X109" s="29"/>
      <c r="Y109" s="29"/>
      <c r="Z109" s="29"/>
      <c r="AA109" s="29"/>
      <c r="AB109" s="29"/>
      <c r="AC109" s="29"/>
      <c r="AD109" s="29"/>
      <c r="AE109" s="29"/>
      <c r="AF109" s="29"/>
    </row>
    <row r="110" spans="1:32" ht="14.25" x14ac:dyDescent="0.2">
      <c r="A110" s="57" t="s">
        <v>279</v>
      </c>
      <c r="B110" s="321">
        <f t="shared" ref="B110:H110" si="28">B109*B108*365/1000</f>
        <v>230068.40154920149</v>
      </c>
      <c r="C110" s="321">
        <f t="shared" si="28"/>
        <v>232645.34235440372</v>
      </c>
      <c r="D110" s="321">
        <f t="shared" si="28"/>
        <v>237864.73940900833</v>
      </c>
      <c r="E110" s="321">
        <f t="shared" si="28"/>
        <v>243084.13646361287</v>
      </c>
      <c r="F110" s="321">
        <f t="shared" si="28"/>
        <v>248325.37199961746</v>
      </c>
      <c r="G110" s="321">
        <f t="shared" si="28"/>
        <v>248325.37199961746</v>
      </c>
      <c r="H110" s="321">
        <f t="shared" si="28"/>
        <v>248325.37199961746</v>
      </c>
      <c r="W110" s="29"/>
      <c r="X110" s="29"/>
      <c r="Y110" s="29"/>
      <c r="Z110" s="29"/>
      <c r="AA110" s="29"/>
      <c r="AB110" s="29"/>
      <c r="AC110" s="29"/>
      <c r="AD110" s="29"/>
      <c r="AE110" s="29"/>
      <c r="AF110" s="29"/>
    </row>
    <row r="111" spans="1:32" ht="14.25" x14ac:dyDescent="0.2">
      <c r="A111" s="57" t="s">
        <v>269</v>
      </c>
      <c r="B111" s="705">
        <f>B88</f>
        <v>25184</v>
      </c>
      <c r="C111" s="705">
        <f t="shared" ref="C111:H112" si="29">B111</f>
        <v>25184</v>
      </c>
      <c r="D111" s="705">
        <f t="shared" si="29"/>
        <v>25184</v>
      </c>
      <c r="E111" s="705">
        <f t="shared" si="29"/>
        <v>25184</v>
      </c>
      <c r="F111" s="705">
        <f t="shared" si="29"/>
        <v>25184</v>
      </c>
      <c r="G111" s="705">
        <f t="shared" si="29"/>
        <v>25184</v>
      </c>
      <c r="H111" s="705">
        <f t="shared" si="29"/>
        <v>25184</v>
      </c>
      <c r="W111" s="29"/>
      <c r="X111" s="29"/>
      <c r="Y111" s="29"/>
      <c r="Z111" s="29"/>
      <c r="AA111" s="29"/>
      <c r="AB111" s="29"/>
      <c r="AC111" s="29"/>
      <c r="AD111" s="29"/>
      <c r="AE111" s="29"/>
      <c r="AF111" s="29"/>
    </row>
    <row r="112" spans="1:32" ht="14.25" x14ac:dyDescent="0.2">
      <c r="A112" s="57" t="s">
        <v>270</v>
      </c>
      <c r="B112" s="705">
        <f>B89</f>
        <v>73343</v>
      </c>
      <c r="C112" s="705">
        <f t="shared" si="29"/>
        <v>73343</v>
      </c>
      <c r="D112" s="705">
        <f t="shared" si="29"/>
        <v>73343</v>
      </c>
      <c r="E112" s="705">
        <f t="shared" si="29"/>
        <v>73343</v>
      </c>
      <c r="F112" s="705">
        <f t="shared" si="29"/>
        <v>73343</v>
      </c>
      <c r="G112" s="705">
        <f t="shared" si="29"/>
        <v>73343</v>
      </c>
      <c r="H112" s="705">
        <f t="shared" si="29"/>
        <v>73343</v>
      </c>
      <c r="W112" s="29"/>
      <c r="X112" s="29"/>
      <c r="Y112" s="29"/>
      <c r="Z112" s="29"/>
      <c r="AA112" s="29"/>
      <c r="AB112" s="29"/>
      <c r="AC112" s="29"/>
      <c r="AD112" s="29"/>
      <c r="AE112" s="29"/>
      <c r="AF112" s="29"/>
    </row>
    <row r="113" spans="1:32" ht="14.25" x14ac:dyDescent="0.2">
      <c r="A113" s="57" t="s">
        <v>280</v>
      </c>
      <c r="B113" s="319">
        <f>B110+B111+B112</f>
        <v>328595.40154920146</v>
      </c>
      <c r="C113" s="319">
        <f t="shared" ref="C113:H113" si="30">C110+C111+C112</f>
        <v>331172.34235440369</v>
      </c>
      <c r="D113" s="319">
        <f t="shared" si="30"/>
        <v>336391.7394090083</v>
      </c>
      <c r="E113" s="319">
        <f t="shared" si="30"/>
        <v>341611.1364636129</v>
      </c>
      <c r="F113" s="319">
        <f t="shared" si="30"/>
        <v>346852.37199961743</v>
      </c>
      <c r="G113" s="319">
        <f t="shared" si="30"/>
        <v>346852.37199961743</v>
      </c>
      <c r="H113" s="319">
        <f t="shared" si="30"/>
        <v>346852.37199961743</v>
      </c>
      <c r="W113" s="29"/>
      <c r="X113" s="29"/>
      <c r="Y113" s="29"/>
      <c r="Z113" s="29"/>
      <c r="AA113" s="29"/>
      <c r="AB113" s="29"/>
      <c r="AC113" s="29"/>
      <c r="AD113" s="29"/>
      <c r="AE113" s="29"/>
      <c r="AF113" s="29"/>
    </row>
    <row r="114" spans="1:32" x14ac:dyDescent="0.2">
      <c r="A114" s="735" t="s">
        <v>487</v>
      </c>
      <c r="B114" s="736"/>
      <c r="C114" s="736"/>
      <c r="D114" s="736">
        <v>43</v>
      </c>
      <c r="E114" s="736">
        <v>43</v>
      </c>
      <c r="F114" s="736">
        <v>43</v>
      </c>
      <c r="G114" s="736"/>
      <c r="H114" s="736"/>
      <c r="W114" s="29"/>
      <c r="X114" s="29"/>
      <c r="Y114" s="29"/>
      <c r="Z114" s="29"/>
      <c r="AA114" s="29"/>
      <c r="AB114" s="29"/>
      <c r="AC114" s="29"/>
      <c r="AD114" s="29"/>
      <c r="AE114" s="29"/>
      <c r="AF114" s="29"/>
    </row>
    <row r="115" spans="1:32" x14ac:dyDescent="0.2">
      <c r="A115" s="30" t="s">
        <v>274</v>
      </c>
      <c r="B115" s="734">
        <v>46</v>
      </c>
      <c r="C115" s="734">
        <v>90</v>
      </c>
      <c r="D115" s="734">
        <v>158</v>
      </c>
      <c r="E115" s="734">
        <v>158</v>
      </c>
      <c r="F115" s="734">
        <v>158</v>
      </c>
      <c r="G115" s="734"/>
      <c r="H115" s="734"/>
      <c r="W115" s="29"/>
      <c r="X115" s="29"/>
      <c r="Y115" s="29"/>
      <c r="Z115" s="29"/>
      <c r="AA115" s="29"/>
      <c r="AB115" s="29"/>
      <c r="AC115" s="29"/>
      <c r="AD115" s="29"/>
      <c r="AE115" s="29"/>
      <c r="AF115" s="29"/>
    </row>
    <row r="116" spans="1:32" x14ac:dyDescent="0.2">
      <c r="A116" s="30" t="s">
        <v>275</v>
      </c>
      <c r="B116" s="734">
        <v>32</v>
      </c>
      <c r="C116" s="734">
        <v>28</v>
      </c>
      <c r="D116" s="734">
        <v>38</v>
      </c>
      <c r="E116" s="734">
        <v>38</v>
      </c>
      <c r="F116" s="734">
        <v>39</v>
      </c>
      <c r="G116" s="734"/>
      <c r="H116" s="734"/>
      <c r="W116" s="29"/>
      <c r="X116" s="29"/>
      <c r="Y116" s="29"/>
      <c r="Z116" s="29"/>
      <c r="AA116" s="29"/>
      <c r="AB116" s="29"/>
      <c r="AC116" s="29"/>
      <c r="AD116" s="29"/>
      <c r="AE116" s="29"/>
      <c r="AF116" s="29"/>
    </row>
    <row r="117" spans="1:32" ht="14.25" x14ac:dyDescent="0.2">
      <c r="A117" s="30" t="s">
        <v>75</v>
      </c>
      <c r="B117" s="746">
        <f>B114*B109*365/1000</f>
        <v>0</v>
      </c>
      <c r="C117" s="746">
        <f t="shared" ref="C117:H117" si="31">C114*C109*365/1000</f>
        <v>0</v>
      </c>
      <c r="D117" s="746">
        <f t="shared" si="31"/>
        <v>939.05470020082248</v>
      </c>
      <c r="E117" s="746">
        <f t="shared" si="31"/>
        <v>939.05470020082248</v>
      </c>
      <c r="F117" s="746">
        <f t="shared" si="31"/>
        <v>939.05470020082248</v>
      </c>
      <c r="G117" s="746">
        <f t="shared" si="31"/>
        <v>0</v>
      </c>
      <c r="H117" s="746">
        <f t="shared" si="31"/>
        <v>0</v>
      </c>
      <c r="W117" s="29"/>
      <c r="X117" s="29"/>
      <c r="Y117" s="29"/>
      <c r="Z117" s="29"/>
      <c r="AA117" s="29"/>
      <c r="AB117" s="29"/>
      <c r="AC117" s="29"/>
      <c r="AD117" s="29"/>
      <c r="AE117" s="29"/>
      <c r="AF117" s="29"/>
    </row>
    <row r="118" spans="1:32" ht="14.25" x14ac:dyDescent="0.2">
      <c r="A118" s="30" t="s">
        <v>281</v>
      </c>
      <c r="B118" s="319">
        <f>B109*B115*365/1000</f>
        <v>1004.5701444008798</v>
      </c>
      <c r="C118" s="319">
        <f t="shared" ref="C118:H118" si="32">C109*C115*365/1000</f>
        <v>1965.4633260017215</v>
      </c>
      <c r="D118" s="319">
        <f t="shared" si="32"/>
        <v>3450.4800612030222</v>
      </c>
      <c r="E118" s="319">
        <f t="shared" si="32"/>
        <v>3450.4800612030222</v>
      </c>
      <c r="F118" s="319">
        <f t="shared" si="32"/>
        <v>3450.4800612030222</v>
      </c>
      <c r="G118" s="319">
        <f t="shared" si="32"/>
        <v>0</v>
      </c>
      <c r="H118" s="319">
        <f t="shared" si="32"/>
        <v>0</v>
      </c>
      <c r="W118" s="29"/>
      <c r="X118" s="29"/>
      <c r="Y118" s="29"/>
      <c r="Z118" s="29"/>
      <c r="AA118" s="29"/>
      <c r="AB118" s="29"/>
      <c r="AC118" s="29"/>
      <c r="AD118" s="29"/>
      <c r="AE118" s="29"/>
      <c r="AF118" s="29"/>
    </row>
    <row r="119" spans="1:32" ht="14.25" x14ac:dyDescent="0.2">
      <c r="A119" s="30" t="s">
        <v>282</v>
      </c>
      <c r="B119" s="319">
        <f>B116*B109*365/1000</f>
        <v>698.83140480061206</v>
      </c>
      <c r="C119" s="319">
        <f t="shared" ref="C119:H119" si="33">C116*C109*365/1000</f>
        <v>611.47747920053553</v>
      </c>
      <c r="D119" s="319">
        <f t="shared" si="33"/>
        <v>829.86229320072687</v>
      </c>
      <c r="E119" s="319">
        <f t="shared" si="33"/>
        <v>829.86229320072687</v>
      </c>
      <c r="F119" s="319">
        <f t="shared" si="33"/>
        <v>851.70077460074583</v>
      </c>
      <c r="G119" s="319">
        <f t="shared" si="33"/>
        <v>0</v>
      </c>
      <c r="H119" s="319">
        <f t="shared" si="33"/>
        <v>0</v>
      </c>
      <c r="W119" s="29"/>
      <c r="X119" s="29"/>
      <c r="Y119" s="29"/>
      <c r="Z119" s="29"/>
      <c r="AA119" s="29"/>
      <c r="AB119" s="29"/>
      <c r="AC119" s="29"/>
      <c r="AD119" s="29"/>
      <c r="AE119" s="29"/>
      <c r="AF119" s="29"/>
    </row>
    <row r="120" spans="1:32" x14ac:dyDescent="0.2">
      <c r="A120" s="30" t="s">
        <v>278</v>
      </c>
      <c r="B120" s="58">
        <f>B108-B86</f>
        <v>78</v>
      </c>
      <c r="C120" s="58">
        <f t="shared" ref="C120:H120" si="34">C108-B108</f>
        <v>118</v>
      </c>
      <c r="D120" s="58">
        <f t="shared" si="34"/>
        <v>239</v>
      </c>
      <c r="E120" s="58">
        <f t="shared" si="34"/>
        <v>239</v>
      </c>
      <c r="F120" s="58">
        <f t="shared" si="34"/>
        <v>240</v>
      </c>
      <c r="G120" s="58">
        <f t="shared" si="34"/>
        <v>0</v>
      </c>
      <c r="H120" s="58">
        <f t="shared" si="34"/>
        <v>0</v>
      </c>
      <c r="W120" s="29"/>
      <c r="X120" s="29"/>
      <c r="Y120" s="29"/>
      <c r="Z120" s="29"/>
      <c r="AA120" s="29"/>
      <c r="AB120" s="29"/>
      <c r="AC120" s="29"/>
      <c r="AD120" s="29"/>
      <c r="AE120" s="29"/>
      <c r="AF120" s="29"/>
    </row>
    <row r="121" spans="1:32" x14ac:dyDescent="0.2">
      <c r="A121" s="30" t="s">
        <v>265</v>
      </c>
      <c r="B121" s="56">
        <f>B108/B107</f>
        <v>0.9109381755296152</v>
      </c>
      <c r="C121" s="56">
        <f t="shared" ref="C121:H121" si="35">C108/C107</f>
        <v>0.92114137483787284</v>
      </c>
      <c r="D121" s="56">
        <f t="shared" si="35"/>
        <v>0.94180717682663206</v>
      </c>
      <c r="E121" s="56">
        <f t="shared" si="35"/>
        <v>0.96247297881539129</v>
      </c>
      <c r="F121" s="56">
        <f t="shared" si="35"/>
        <v>0.98322524859489835</v>
      </c>
      <c r="G121" s="56">
        <f t="shared" si="35"/>
        <v>0.98322524859489835</v>
      </c>
      <c r="H121" s="56">
        <f t="shared" si="35"/>
        <v>0.98322524859489835</v>
      </c>
      <c r="W121" s="29"/>
      <c r="X121" s="29"/>
      <c r="Y121" s="29"/>
      <c r="Z121" s="29"/>
      <c r="AA121" s="29"/>
      <c r="AB121" s="29"/>
      <c r="AC121" s="29"/>
      <c r="AD121" s="29"/>
      <c r="AE121" s="29"/>
      <c r="AF121" s="29"/>
    </row>
    <row r="122" spans="1:32" x14ac:dyDescent="0.2">
      <c r="A122" s="6"/>
      <c r="B122" s="32"/>
      <c r="C122" s="32"/>
      <c r="D122" s="32"/>
      <c r="E122" s="32"/>
      <c r="F122" s="32"/>
      <c r="W122" s="29"/>
      <c r="X122" s="29"/>
      <c r="Y122" s="29"/>
      <c r="Z122" s="29"/>
      <c r="AA122" s="29"/>
      <c r="AB122" s="29"/>
      <c r="AC122" s="29"/>
      <c r="AD122" s="29"/>
      <c r="AE122" s="29"/>
      <c r="AF122" s="29"/>
    </row>
    <row r="123" spans="1:32" x14ac:dyDescent="0.2">
      <c r="A123" s="591" t="s">
        <v>283</v>
      </c>
      <c r="B123" s="593"/>
      <c r="C123" s="29"/>
      <c r="D123" s="29"/>
      <c r="E123" s="29"/>
      <c r="F123" s="29"/>
      <c r="G123" s="29"/>
      <c r="P123" s="29"/>
      <c r="Q123" s="29"/>
      <c r="R123" s="29"/>
      <c r="S123" s="29"/>
      <c r="T123" s="29"/>
      <c r="U123" s="29"/>
      <c r="V123" s="29"/>
      <c r="W123" s="29"/>
      <c r="X123" s="29"/>
      <c r="Y123" s="29"/>
    </row>
    <row r="124" spans="1:32" x14ac:dyDescent="0.2">
      <c r="A124" s="40"/>
      <c r="B124" s="44">
        <f>B15</f>
        <v>2017</v>
      </c>
      <c r="C124" s="650"/>
      <c r="D124" s="650"/>
      <c r="E124" s="650"/>
      <c r="F124" s="650"/>
      <c r="G124" s="29"/>
      <c r="W124" s="29"/>
      <c r="X124" s="29"/>
      <c r="Y124" s="29"/>
      <c r="Z124" s="29"/>
      <c r="AA124" s="29"/>
      <c r="AB124" s="29"/>
      <c r="AC124" s="29"/>
      <c r="AD124" s="29"/>
      <c r="AE124" s="29"/>
      <c r="AF124" s="29"/>
    </row>
    <row r="125" spans="1:32" x14ac:dyDescent="0.2">
      <c r="A125" s="59" t="s">
        <v>284</v>
      </c>
      <c r="B125" s="60"/>
      <c r="C125" s="587"/>
      <c r="D125" s="588"/>
      <c r="E125" s="588"/>
      <c r="F125" s="588"/>
      <c r="W125" s="29"/>
      <c r="X125" s="29"/>
      <c r="Y125" s="29"/>
      <c r="Z125" s="29"/>
      <c r="AA125" s="29"/>
      <c r="AB125" s="29"/>
      <c r="AC125" s="29"/>
      <c r="AD125" s="29"/>
      <c r="AE125" s="29"/>
      <c r="AF125" s="29"/>
    </row>
    <row r="126" spans="1:32" x14ac:dyDescent="0.2">
      <c r="A126" s="50" t="s">
        <v>285</v>
      </c>
      <c r="B126" s="50"/>
      <c r="C126" s="32"/>
      <c r="W126" s="29"/>
      <c r="X126" s="29"/>
      <c r="Y126" s="29"/>
      <c r="Z126" s="29"/>
      <c r="AA126" s="29"/>
      <c r="AB126" s="29"/>
      <c r="AC126" s="29"/>
      <c r="AD126" s="29"/>
      <c r="AE126" s="29"/>
      <c r="AF126" s="29"/>
    </row>
    <row r="127" spans="1:32" x14ac:dyDescent="0.2">
      <c r="A127" s="50" t="s">
        <v>286</v>
      </c>
      <c r="B127" s="706">
        <v>29155</v>
      </c>
      <c r="C127" s="32"/>
      <c r="I127" s="31"/>
      <c r="W127" s="29"/>
      <c r="X127" s="29"/>
      <c r="Y127" s="29"/>
      <c r="Z127" s="29"/>
      <c r="AA127" s="29"/>
      <c r="AB127" s="29"/>
      <c r="AC127" s="29"/>
      <c r="AD127" s="29"/>
      <c r="AE127" s="29"/>
      <c r="AF127" s="29"/>
    </row>
    <row r="128" spans="1:32" x14ac:dyDescent="0.2">
      <c r="A128" s="50" t="s">
        <v>287</v>
      </c>
      <c r="B128" s="706">
        <v>18226</v>
      </c>
      <c r="C128" s="32"/>
      <c r="W128" s="29"/>
      <c r="X128" s="29"/>
      <c r="Y128" s="29"/>
      <c r="Z128" s="29"/>
      <c r="AA128" s="29"/>
      <c r="AB128" s="29"/>
      <c r="AC128" s="29"/>
      <c r="AD128" s="29"/>
      <c r="AE128" s="29"/>
      <c r="AF128" s="29"/>
    </row>
    <row r="129" spans="1:32" x14ac:dyDescent="0.2">
      <c r="A129" s="50" t="s">
        <v>288</v>
      </c>
      <c r="B129" s="706">
        <v>17882</v>
      </c>
      <c r="C129" s="32"/>
      <c r="W129" s="29"/>
      <c r="X129" s="29"/>
      <c r="Y129" s="29"/>
      <c r="Z129" s="29"/>
      <c r="AA129" s="29"/>
      <c r="AB129" s="29"/>
      <c r="AC129" s="29"/>
      <c r="AD129" s="29"/>
      <c r="AE129" s="29"/>
      <c r="AF129" s="29"/>
    </row>
    <row r="130" spans="1:32" x14ac:dyDescent="0.2">
      <c r="A130" s="50" t="s">
        <v>289</v>
      </c>
      <c r="B130" s="706">
        <v>21284</v>
      </c>
      <c r="C130" s="32"/>
      <c r="W130" s="29"/>
      <c r="X130" s="29"/>
      <c r="Y130" s="29"/>
      <c r="Z130" s="29"/>
      <c r="AA130" s="29"/>
      <c r="AB130" s="29"/>
      <c r="AC130" s="29"/>
      <c r="AD130" s="29"/>
      <c r="AE130" s="29"/>
      <c r="AF130" s="29"/>
    </row>
    <row r="131" spans="1:32" x14ac:dyDescent="0.2">
      <c r="A131" s="50" t="s">
        <v>290</v>
      </c>
      <c r="B131" s="706">
        <v>10502</v>
      </c>
      <c r="C131" s="32"/>
      <c r="W131" s="29"/>
      <c r="X131" s="29"/>
      <c r="Y131" s="29"/>
      <c r="Z131" s="29"/>
      <c r="AA131" s="29"/>
      <c r="AB131" s="29"/>
      <c r="AC131" s="29"/>
      <c r="AD131" s="29"/>
      <c r="AE131" s="29"/>
      <c r="AF131" s="29"/>
    </row>
    <row r="132" spans="1:32" x14ac:dyDescent="0.2">
      <c r="A132" s="50" t="s">
        <v>291</v>
      </c>
      <c r="B132" s="61"/>
      <c r="C132" s="32"/>
      <c r="W132" s="29"/>
      <c r="X132" s="29"/>
      <c r="Y132" s="29"/>
      <c r="Z132" s="29"/>
      <c r="AA132" s="29"/>
      <c r="AB132" s="29"/>
      <c r="AC132" s="29"/>
      <c r="AD132" s="29"/>
      <c r="AE132" s="29"/>
      <c r="AF132" s="29"/>
    </row>
    <row r="133" spans="1:32" x14ac:dyDescent="0.2">
      <c r="A133" s="50" t="s">
        <v>292</v>
      </c>
      <c r="B133" s="706">
        <v>107237</v>
      </c>
      <c r="C133" s="32"/>
      <c r="W133" s="29"/>
      <c r="X133" s="29"/>
      <c r="Y133" s="29"/>
      <c r="Z133" s="29"/>
      <c r="AA133" s="29"/>
      <c r="AB133" s="29"/>
      <c r="AC133" s="29"/>
      <c r="AD133" s="29"/>
      <c r="AE133" s="29"/>
      <c r="AF133" s="29"/>
    </row>
    <row r="134" spans="1:32" x14ac:dyDescent="0.2">
      <c r="A134" s="50" t="s">
        <v>293</v>
      </c>
      <c r="B134" s="62">
        <f>B133*0.2409</f>
        <v>25833.3933</v>
      </c>
      <c r="C134" s="32"/>
      <c r="W134" s="29"/>
      <c r="X134" s="29"/>
      <c r="Y134" s="29"/>
      <c r="Z134" s="29"/>
      <c r="AA134" s="29"/>
      <c r="AB134" s="29"/>
      <c r="AC134" s="29"/>
      <c r="AD134" s="29"/>
      <c r="AE134" s="29"/>
      <c r="AF134" s="29"/>
    </row>
    <row r="135" spans="1:32" x14ac:dyDescent="0.2">
      <c r="A135" s="50" t="s">
        <v>294</v>
      </c>
      <c r="B135" s="706">
        <v>956</v>
      </c>
      <c r="C135" s="32"/>
      <c r="W135" s="29"/>
      <c r="X135" s="29"/>
      <c r="Y135" s="29"/>
      <c r="Z135" s="29"/>
      <c r="AA135" s="29"/>
      <c r="AB135" s="29"/>
      <c r="AC135" s="29"/>
      <c r="AD135" s="29"/>
      <c r="AE135" s="29"/>
      <c r="AF135" s="29"/>
    </row>
    <row r="136" spans="1:32" x14ac:dyDescent="0.2">
      <c r="A136" s="63" t="s">
        <v>295</v>
      </c>
      <c r="B136" s="64"/>
      <c r="C136" s="32"/>
      <c r="W136" s="29"/>
      <c r="X136" s="29"/>
      <c r="Y136" s="29"/>
      <c r="Z136" s="29"/>
      <c r="AA136" s="29"/>
      <c r="AB136" s="29"/>
      <c r="AC136" s="29"/>
      <c r="AD136" s="29"/>
      <c r="AE136" s="29"/>
      <c r="AF136" s="29"/>
    </row>
    <row r="137" spans="1:32" x14ac:dyDescent="0.2">
      <c r="A137" s="50" t="s">
        <v>285</v>
      </c>
      <c r="B137" s="61"/>
      <c r="C137" s="32"/>
      <c r="W137" s="29"/>
      <c r="X137" s="29"/>
      <c r="Y137" s="29"/>
      <c r="Z137" s="29"/>
      <c r="AA137" s="29"/>
      <c r="AB137" s="29"/>
      <c r="AC137" s="29"/>
      <c r="AD137" s="29"/>
      <c r="AE137" s="29"/>
      <c r="AF137" s="29"/>
    </row>
    <row r="138" spans="1:32" x14ac:dyDescent="0.2">
      <c r="A138" s="50" t="s">
        <v>286</v>
      </c>
      <c r="B138" s="706">
        <v>31419</v>
      </c>
      <c r="C138" s="32"/>
      <c r="W138" s="29"/>
      <c r="X138" s="29"/>
      <c r="Y138" s="29"/>
      <c r="Z138" s="29"/>
      <c r="AA138" s="29"/>
      <c r="AB138" s="29"/>
      <c r="AC138" s="29"/>
      <c r="AD138" s="29"/>
      <c r="AE138" s="29"/>
      <c r="AF138" s="29"/>
    </row>
    <row r="139" spans="1:32" x14ac:dyDescent="0.2">
      <c r="A139" s="50" t="s">
        <v>287</v>
      </c>
      <c r="B139" s="706">
        <v>77622</v>
      </c>
      <c r="C139" s="32"/>
      <c r="W139" s="29"/>
      <c r="X139" s="29"/>
      <c r="Y139" s="29"/>
      <c r="Z139" s="29"/>
      <c r="AA139" s="29"/>
      <c r="AB139" s="29"/>
      <c r="AC139" s="29"/>
      <c r="AD139" s="29"/>
      <c r="AE139" s="29"/>
      <c r="AF139" s="29"/>
    </row>
    <row r="140" spans="1:32" x14ac:dyDescent="0.2">
      <c r="A140" s="50" t="s">
        <v>288</v>
      </c>
      <c r="B140" s="706">
        <v>1918</v>
      </c>
      <c r="C140" s="32"/>
      <c r="W140" s="29"/>
      <c r="X140" s="29"/>
      <c r="Y140" s="29"/>
      <c r="Z140" s="29"/>
      <c r="AA140" s="29"/>
      <c r="AB140" s="29"/>
      <c r="AC140" s="29"/>
      <c r="AD140" s="29"/>
      <c r="AE140" s="29"/>
      <c r="AF140" s="29"/>
    </row>
    <row r="141" spans="1:32" x14ac:dyDescent="0.2">
      <c r="A141" s="50" t="s">
        <v>289</v>
      </c>
      <c r="B141" s="706">
        <v>43614</v>
      </c>
      <c r="C141" s="32"/>
      <c r="W141" s="29"/>
      <c r="X141" s="29"/>
      <c r="Y141" s="29"/>
      <c r="Z141" s="29"/>
      <c r="AA141" s="29"/>
      <c r="AB141" s="29"/>
      <c r="AC141" s="29"/>
      <c r="AD141" s="29"/>
      <c r="AE141" s="29"/>
      <c r="AF141" s="29"/>
    </row>
    <row r="142" spans="1:32" x14ac:dyDescent="0.2">
      <c r="A142" s="50" t="s">
        <v>290</v>
      </c>
      <c r="B142" s="706">
        <v>19670</v>
      </c>
      <c r="C142" s="32"/>
      <c r="W142" s="29"/>
      <c r="X142" s="29"/>
      <c r="Y142" s="29"/>
      <c r="Z142" s="29"/>
      <c r="AA142" s="29"/>
      <c r="AB142" s="29"/>
      <c r="AC142" s="29"/>
      <c r="AD142" s="29"/>
      <c r="AE142" s="29"/>
      <c r="AF142" s="29"/>
    </row>
    <row r="143" spans="1:32" x14ac:dyDescent="0.2">
      <c r="A143" s="50" t="s">
        <v>291</v>
      </c>
      <c r="B143" s="61"/>
      <c r="C143" s="32"/>
      <c r="W143" s="29"/>
      <c r="X143" s="29"/>
      <c r="Y143" s="29"/>
      <c r="Z143" s="29"/>
      <c r="AA143" s="29"/>
      <c r="AB143" s="29"/>
      <c r="AC143" s="29"/>
      <c r="AD143" s="29"/>
      <c r="AE143" s="29"/>
      <c r="AF143" s="29"/>
    </row>
    <row r="144" spans="1:32" x14ac:dyDescent="0.2">
      <c r="A144" s="50" t="s">
        <v>292</v>
      </c>
      <c r="B144" s="706">
        <v>178227</v>
      </c>
      <c r="C144" s="32"/>
      <c r="W144" s="29"/>
      <c r="X144" s="29"/>
      <c r="Y144" s="29"/>
      <c r="Z144" s="29"/>
      <c r="AA144" s="29"/>
      <c r="AB144" s="29"/>
      <c r="AC144" s="29"/>
      <c r="AD144" s="29"/>
      <c r="AE144" s="29"/>
      <c r="AF144" s="29"/>
    </row>
    <row r="145" spans="1:33" x14ac:dyDescent="0.2">
      <c r="A145" s="50" t="s">
        <v>293</v>
      </c>
      <c r="B145" s="62">
        <f>B144*0.2409</f>
        <v>42934.884299999998</v>
      </c>
      <c r="C145" s="32"/>
      <c r="W145" s="29"/>
      <c r="X145" s="29"/>
      <c r="Y145" s="29"/>
      <c r="Z145" s="29"/>
      <c r="AA145" s="29"/>
      <c r="AB145" s="29"/>
      <c r="AC145" s="29"/>
      <c r="AD145" s="29"/>
      <c r="AE145" s="29"/>
      <c r="AF145" s="29"/>
    </row>
    <row r="146" spans="1:33" x14ac:dyDescent="0.2">
      <c r="A146" s="50" t="s">
        <v>294</v>
      </c>
      <c r="B146" s="706">
        <v>1030</v>
      </c>
      <c r="C146" s="32"/>
      <c r="W146" s="29"/>
      <c r="X146" s="29"/>
      <c r="Y146" s="29"/>
      <c r="Z146" s="29"/>
      <c r="AA146" s="29"/>
      <c r="AB146" s="29"/>
      <c r="AC146" s="29"/>
      <c r="AD146" s="29"/>
      <c r="AE146" s="29"/>
      <c r="AF146" s="29"/>
    </row>
    <row r="147" spans="1:33" x14ac:dyDescent="0.2">
      <c r="A147" s="29"/>
      <c r="W147" s="29"/>
      <c r="X147" s="29"/>
      <c r="Y147" s="29"/>
      <c r="Z147" s="29"/>
      <c r="AA147" s="29"/>
      <c r="AB147" s="29"/>
      <c r="AC147" s="29"/>
      <c r="AD147" s="29"/>
      <c r="AE147" s="29"/>
      <c r="AF147" s="29"/>
    </row>
    <row r="148" spans="1:33" x14ac:dyDescent="0.2">
      <c r="A148" s="651" t="s">
        <v>488</v>
      </c>
      <c r="B148" s="44">
        <v>2018</v>
      </c>
      <c r="C148" s="44">
        <f t="shared" ref="C148:Z148" si="36">B148+1</f>
        <v>2019</v>
      </c>
      <c r="D148" s="44">
        <f t="shared" si="36"/>
        <v>2020</v>
      </c>
      <c r="E148" s="44">
        <f t="shared" si="36"/>
        <v>2021</v>
      </c>
      <c r="F148" s="44">
        <f t="shared" si="36"/>
        <v>2022</v>
      </c>
      <c r="G148" s="44">
        <f t="shared" si="36"/>
        <v>2023</v>
      </c>
      <c r="H148" s="44">
        <f t="shared" si="36"/>
        <v>2024</v>
      </c>
      <c r="I148" s="44">
        <f t="shared" si="36"/>
        <v>2025</v>
      </c>
      <c r="J148" s="44">
        <f t="shared" si="36"/>
        <v>2026</v>
      </c>
      <c r="K148" s="44">
        <f t="shared" si="36"/>
        <v>2027</v>
      </c>
      <c r="L148" s="44">
        <f t="shared" si="36"/>
        <v>2028</v>
      </c>
      <c r="M148" s="44">
        <f t="shared" si="36"/>
        <v>2029</v>
      </c>
      <c r="N148" s="44">
        <f t="shared" si="36"/>
        <v>2030</v>
      </c>
      <c r="O148" s="44">
        <f t="shared" si="36"/>
        <v>2031</v>
      </c>
      <c r="P148" s="44">
        <f t="shared" si="36"/>
        <v>2032</v>
      </c>
      <c r="Q148" s="44">
        <f t="shared" si="36"/>
        <v>2033</v>
      </c>
      <c r="R148" s="44">
        <f t="shared" si="36"/>
        <v>2034</v>
      </c>
      <c r="S148" s="44">
        <f t="shared" si="36"/>
        <v>2035</v>
      </c>
      <c r="T148" s="44">
        <f t="shared" si="36"/>
        <v>2036</v>
      </c>
      <c r="U148" s="44">
        <f t="shared" si="36"/>
        <v>2037</v>
      </c>
      <c r="V148" s="44">
        <f t="shared" si="36"/>
        <v>2038</v>
      </c>
      <c r="W148" s="44">
        <f t="shared" si="36"/>
        <v>2039</v>
      </c>
      <c r="X148" s="44">
        <f t="shared" si="36"/>
        <v>2040</v>
      </c>
      <c r="Y148" s="44">
        <f t="shared" si="36"/>
        <v>2041</v>
      </c>
      <c r="Z148" s="44">
        <f t="shared" si="36"/>
        <v>2042</v>
      </c>
      <c r="AA148" s="44">
        <f t="shared" ref="AA148:AG148" si="37">Z148+1</f>
        <v>2043</v>
      </c>
      <c r="AB148" s="44">
        <f t="shared" si="37"/>
        <v>2044</v>
      </c>
      <c r="AC148" s="44">
        <f t="shared" si="37"/>
        <v>2045</v>
      </c>
      <c r="AD148" s="44">
        <f t="shared" si="37"/>
        <v>2046</v>
      </c>
      <c r="AE148" s="44">
        <f t="shared" si="37"/>
        <v>2047</v>
      </c>
      <c r="AF148" s="44">
        <f t="shared" si="37"/>
        <v>2048</v>
      </c>
      <c r="AG148" s="44">
        <f t="shared" si="37"/>
        <v>2049</v>
      </c>
    </row>
    <row r="149" spans="1:33" x14ac:dyDescent="0.2">
      <c r="A149" s="782"/>
      <c r="B149" s="777"/>
      <c r="C149" s="777"/>
      <c r="D149" s="777"/>
      <c r="E149" s="777"/>
      <c r="F149" s="777"/>
      <c r="G149" s="777"/>
      <c r="H149" s="777"/>
      <c r="I149" s="777"/>
      <c r="J149" s="777"/>
      <c r="K149" s="777"/>
      <c r="L149" s="777"/>
      <c r="M149" s="777"/>
      <c r="N149" s="777"/>
      <c r="O149" s="777"/>
      <c r="P149" s="777"/>
      <c r="Q149" s="777"/>
      <c r="R149" s="777"/>
      <c r="S149" s="777"/>
      <c r="T149" s="777"/>
      <c r="U149" s="777"/>
      <c r="V149" s="777"/>
      <c r="W149" s="777"/>
      <c r="X149" s="777"/>
      <c r="Y149" s="777"/>
      <c r="Z149" s="777"/>
      <c r="AA149" s="777"/>
      <c r="AB149" s="777"/>
      <c r="AC149" s="777"/>
      <c r="AD149" s="777"/>
      <c r="AE149" s="777"/>
      <c r="AF149" s="777"/>
      <c r="AG149" s="777"/>
    </row>
    <row r="150" spans="1:33" x14ac:dyDescent="0.2">
      <c r="A150" s="783" t="s">
        <v>285</v>
      </c>
      <c r="B150" s="784"/>
      <c r="C150" s="784"/>
      <c r="D150" s="784"/>
      <c r="E150" s="784"/>
      <c r="F150" s="784"/>
      <c r="G150" s="784"/>
      <c r="H150" s="784"/>
      <c r="I150" s="784"/>
      <c r="J150" s="784"/>
      <c r="K150" s="784"/>
      <c r="L150" s="784"/>
      <c r="M150" s="784"/>
      <c r="N150" s="784"/>
      <c r="O150" s="784"/>
      <c r="P150" s="784"/>
      <c r="Q150" s="784"/>
      <c r="R150" s="784"/>
      <c r="S150" s="784"/>
      <c r="T150" s="784"/>
      <c r="U150" s="784"/>
      <c r="V150" s="784"/>
      <c r="W150" s="784"/>
      <c r="X150" s="784"/>
      <c r="Y150" s="784"/>
      <c r="Z150" s="784"/>
      <c r="AA150" s="784"/>
      <c r="AB150" s="784"/>
      <c r="AC150" s="784"/>
      <c r="AD150" s="784"/>
      <c r="AE150" s="784"/>
      <c r="AF150" s="784"/>
      <c r="AG150" s="784"/>
    </row>
    <row r="151" spans="1:33" x14ac:dyDescent="0.2">
      <c r="A151" s="50" t="s">
        <v>286</v>
      </c>
      <c r="B151" s="323">
        <f>$B$127*(1+$B$104/$B$99)*0.75</f>
        <v>21887.848993296277</v>
      </c>
      <c r="C151" s="323">
        <f>$B$151*(1+$C$104/$C$99)</f>
        <v>21931.004394013402</v>
      </c>
      <c r="D151" s="323">
        <f>$C$151*(1+$D$104/$D$99)</f>
        <v>21980.227990746695</v>
      </c>
      <c r="E151" s="323">
        <f>$D$151*(1+$E$104/$E$99)</f>
        <v>22038.656477940676</v>
      </c>
      <c r="F151" s="323">
        <f>$E$151*(1+$F$104/$F$99)</f>
        <v>22097.084965134658</v>
      </c>
      <c r="G151" s="323">
        <f>$F$151*(1+$G$104/$G$99)</f>
        <v>22097.084965134658</v>
      </c>
      <c r="H151" s="323">
        <f>$G$151*(1+$H$104/$H$99)</f>
        <v>22097.084965134658</v>
      </c>
      <c r="I151" s="316">
        <f>H151</f>
        <v>22097.084965134658</v>
      </c>
      <c r="J151" s="316">
        <f t="shared" ref="J151:AG151" si="38">I151</f>
        <v>22097.084965134658</v>
      </c>
      <c r="K151" s="316">
        <f t="shared" si="38"/>
        <v>22097.084965134658</v>
      </c>
      <c r="L151" s="316">
        <f t="shared" si="38"/>
        <v>22097.084965134658</v>
      </c>
      <c r="M151" s="316">
        <f t="shared" si="38"/>
        <v>22097.084965134658</v>
      </c>
      <c r="N151" s="316">
        <f t="shared" si="38"/>
        <v>22097.084965134658</v>
      </c>
      <c r="O151" s="316">
        <f t="shared" si="38"/>
        <v>22097.084965134658</v>
      </c>
      <c r="P151" s="316">
        <f t="shared" si="38"/>
        <v>22097.084965134658</v>
      </c>
      <c r="Q151" s="316">
        <f>P151+4000</f>
        <v>26097.084965134658</v>
      </c>
      <c r="R151" s="316">
        <f t="shared" si="38"/>
        <v>26097.084965134658</v>
      </c>
      <c r="S151" s="316">
        <f t="shared" si="38"/>
        <v>26097.084965134658</v>
      </c>
      <c r="T151" s="316">
        <f t="shared" si="38"/>
        <v>26097.084965134658</v>
      </c>
      <c r="U151" s="316">
        <f t="shared" si="38"/>
        <v>26097.084965134658</v>
      </c>
      <c r="V151" s="316">
        <f t="shared" si="38"/>
        <v>26097.084965134658</v>
      </c>
      <c r="W151" s="316">
        <f t="shared" si="38"/>
        <v>26097.084965134658</v>
      </c>
      <c r="X151" s="316">
        <f t="shared" si="38"/>
        <v>26097.084965134658</v>
      </c>
      <c r="Y151" s="316">
        <f t="shared" si="38"/>
        <v>26097.084965134658</v>
      </c>
      <c r="Z151" s="316">
        <f t="shared" si="38"/>
        <v>26097.084965134658</v>
      </c>
      <c r="AA151" s="316">
        <f t="shared" si="38"/>
        <v>26097.084965134658</v>
      </c>
      <c r="AB151" s="316">
        <f t="shared" si="38"/>
        <v>26097.084965134658</v>
      </c>
      <c r="AC151" s="316">
        <f t="shared" si="38"/>
        <v>26097.084965134658</v>
      </c>
      <c r="AD151" s="316">
        <f t="shared" si="38"/>
        <v>26097.084965134658</v>
      </c>
      <c r="AE151" s="316">
        <f t="shared" si="38"/>
        <v>26097.084965134658</v>
      </c>
      <c r="AF151" s="316">
        <f t="shared" si="38"/>
        <v>26097.084965134658</v>
      </c>
      <c r="AG151" s="316">
        <f t="shared" si="38"/>
        <v>26097.084965134658</v>
      </c>
    </row>
    <row r="152" spans="1:33" x14ac:dyDescent="0.2">
      <c r="A152" s="50" t="s">
        <v>287</v>
      </c>
      <c r="B152" s="323">
        <f>$B$128*(1+$B$104/$B$99)</f>
        <v>18244.003235663087</v>
      </c>
      <c r="C152" s="323">
        <f>$B$152*(1+$C$104/$C$99)</f>
        <v>18279.974210726043</v>
      </c>
      <c r="D152" s="323">
        <f>$C$152*(1+$D$104/$D$99)</f>
        <v>18321.00316054876</v>
      </c>
      <c r="E152" s="323">
        <f>$D$152*(1+$E$104/$E$99)</f>
        <v>18369.704588895984</v>
      </c>
      <c r="F152" s="323">
        <f>$E$152*(1+$F$104/$F$99)</f>
        <v>18418.406017243207</v>
      </c>
      <c r="G152" s="323">
        <f>$F$152*(1+$G$104/$G$99)</f>
        <v>18418.406017243207</v>
      </c>
      <c r="H152" s="323">
        <f>$G$152*(1+$H$104/$H$99)</f>
        <v>18418.406017243207</v>
      </c>
      <c r="I152" s="316">
        <f>H152</f>
        <v>18418.406017243207</v>
      </c>
      <c r="J152" s="316">
        <f t="shared" ref="J152:AG152" si="39">I152</f>
        <v>18418.406017243207</v>
      </c>
      <c r="K152" s="316">
        <f t="shared" si="39"/>
        <v>18418.406017243207</v>
      </c>
      <c r="L152" s="316">
        <f t="shared" si="39"/>
        <v>18418.406017243207</v>
      </c>
      <c r="M152" s="316">
        <f t="shared" si="39"/>
        <v>18418.406017243207</v>
      </c>
      <c r="N152" s="316">
        <f t="shared" si="39"/>
        <v>18418.406017243207</v>
      </c>
      <c r="O152" s="316">
        <f t="shared" si="39"/>
        <v>18418.406017243207</v>
      </c>
      <c r="P152" s="316">
        <f t="shared" si="39"/>
        <v>18418.406017243207</v>
      </c>
      <c r="Q152" s="316">
        <f t="shared" si="39"/>
        <v>18418.406017243207</v>
      </c>
      <c r="R152" s="316">
        <f t="shared" si="39"/>
        <v>18418.406017243207</v>
      </c>
      <c r="S152" s="316">
        <f t="shared" si="39"/>
        <v>18418.406017243207</v>
      </c>
      <c r="T152" s="316">
        <f t="shared" si="39"/>
        <v>18418.406017243207</v>
      </c>
      <c r="U152" s="316">
        <f t="shared" si="39"/>
        <v>18418.406017243207</v>
      </c>
      <c r="V152" s="316">
        <f t="shared" si="39"/>
        <v>18418.406017243207</v>
      </c>
      <c r="W152" s="316">
        <f t="shared" si="39"/>
        <v>18418.406017243207</v>
      </c>
      <c r="X152" s="316">
        <f t="shared" si="39"/>
        <v>18418.406017243207</v>
      </c>
      <c r="Y152" s="316">
        <f t="shared" si="39"/>
        <v>18418.406017243207</v>
      </c>
      <c r="Z152" s="316">
        <f t="shared" si="39"/>
        <v>18418.406017243207</v>
      </c>
      <c r="AA152" s="316">
        <f t="shared" si="39"/>
        <v>18418.406017243207</v>
      </c>
      <c r="AB152" s="316">
        <f t="shared" si="39"/>
        <v>18418.406017243207</v>
      </c>
      <c r="AC152" s="316">
        <f t="shared" si="39"/>
        <v>18418.406017243207</v>
      </c>
      <c r="AD152" s="316">
        <f t="shared" si="39"/>
        <v>18418.406017243207</v>
      </c>
      <c r="AE152" s="316">
        <f t="shared" si="39"/>
        <v>18418.406017243207</v>
      </c>
      <c r="AF152" s="316">
        <f t="shared" si="39"/>
        <v>18418.406017243207</v>
      </c>
      <c r="AG152" s="316">
        <f t="shared" si="39"/>
        <v>18418.406017243207</v>
      </c>
    </row>
    <row r="153" spans="1:33" x14ac:dyDescent="0.2">
      <c r="A153" s="50" t="s">
        <v>288</v>
      </c>
      <c r="B153" s="323">
        <f>$B$129*(1+$B$104/$B$99)</f>
        <v>17899.663440147444</v>
      </c>
      <c r="C153" s="323">
        <f>$B$153*(1+$C$104/$C$99)</f>
        <v>17934.955494140406</v>
      </c>
      <c r="D153" s="323">
        <f>$C$153*(1+$D$104/$D$99)</f>
        <v>17975.210057990389</v>
      </c>
      <c r="E153" s="323">
        <f>$D$153*(1+$E$104/$E$99)</f>
        <v>18022.992288962905</v>
      </c>
      <c r="F153" s="323">
        <f>$E$153*(1+$F$104/$F$99)</f>
        <v>18070.774519935421</v>
      </c>
      <c r="G153" s="323">
        <f>$F$153*(1+$G$104/$G$99)</f>
        <v>18070.774519935421</v>
      </c>
      <c r="H153" s="323">
        <f>$G$153*(1+$H$104/$H$99)</f>
        <v>18070.774519935421</v>
      </c>
      <c r="I153" s="316">
        <f>H153</f>
        <v>18070.774519935421</v>
      </c>
      <c r="J153" s="316">
        <f t="shared" ref="J153:AG153" si="40">I153</f>
        <v>18070.774519935421</v>
      </c>
      <c r="K153" s="316">
        <f t="shared" si="40"/>
        <v>18070.774519935421</v>
      </c>
      <c r="L153" s="316">
        <f t="shared" si="40"/>
        <v>18070.774519935421</v>
      </c>
      <c r="M153" s="316">
        <f t="shared" si="40"/>
        <v>18070.774519935421</v>
      </c>
      <c r="N153" s="316">
        <f t="shared" si="40"/>
        <v>18070.774519935421</v>
      </c>
      <c r="O153" s="316">
        <f t="shared" si="40"/>
        <v>18070.774519935421</v>
      </c>
      <c r="P153" s="316">
        <f t="shared" si="40"/>
        <v>18070.774519935421</v>
      </c>
      <c r="Q153" s="316">
        <f t="shared" si="40"/>
        <v>18070.774519935421</v>
      </c>
      <c r="R153" s="316">
        <f t="shared" si="40"/>
        <v>18070.774519935421</v>
      </c>
      <c r="S153" s="316">
        <f t="shared" si="40"/>
        <v>18070.774519935421</v>
      </c>
      <c r="T153" s="316">
        <f t="shared" si="40"/>
        <v>18070.774519935421</v>
      </c>
      <c r="U153" s="316">
        <f t="shared" si="40"/>
        <v>18070.774519935421</v>
      </c>
      <c r="V153" s="316">
        <f t="shared" si="40"/>
        <v>18070.774519935421</v>
      </c>
      <c r="W153" s="316">
        <f t="shared" si="40"/>
        <v>18070.774519935421</v>
      </c>
      <c r="X153" s="316">
        <f t="shared" si="40"/>
        <v>18070.774519935421</v>
      </c>
      <c r="Y153" s="316">
        <f t="shared" si="40"/>
        <v>18070.774519935421</v>
      </c>
      <c r="Z153" s="316">
        <f t="shared" si="40"/>
        <v>18070.774519935421</v>
      </c>
      <c r="AA153" s="316">
        <f t="shared" si="40"/>
        <v>18070.774519935421</v>
      </c>
      <c r="AB153" s="316">
        <f t="shared" si="40"/>
        <v>18070.774519935421</v>
      </c>
      <c r="AC153" s="316">
        <f t="shared" si="40"/>
        <v>18070.774519935421</v>
      </c>
      <c r="AD153" s="316">
        <f t="shared" si="40"/>
        <v>18070.774519935421</v>
      </c>
      <c r="AE153" s="316">
        <f t="shared" si="40"/>
        <v>18070.774519935421</v>
      </c>
      <c r="AF153" s="316">
        <f t="shared" si="40"/>
        <v>18070.774519935421</v>
      </c>
      <c r="AG153" s="316">
        <f t="shared" si="40"/>
        <v>18070.774519935421</v>
      </c>
    </row>
    <row r="154" spans="1:33" x14ac:dyDescent="0.2">
      <c r="A154" s="50" t="s">
        <v>289</v>
      </c>
      <c r="B154" s="323">
        <f>$B$130*(1+$B$104/$B$99)</f>
        <v>21305.023859752724</v>
      </c>
      <c r="C154" s="323">
        <f>$B$154*(1+$C$104/$C$99)</f>
        <v>21347.030127350656</v>
      </c>
      <c r="D154" s="323">
        <f>$C$154*(1+$D$104/$D$99)</f>
        <v>21394.943008291437</v>
      </c>
      <c r="E154" s="323">
        <f>$D$154*(1+$E$104/$E$99)</f>
        <v>21451.815673766163</v>
      </c>
      <c r="F154" s="323">
        <f>$E$154*(1+$F$104/$F$99)</f>
        <v>21508.688339240889</v>
      </c>
      <c r="G154" s="323">
        <f>$F$154*(1+$G$104/$G$99)</f>
        <v>21508.688339240889</v>
      </c>
      <c r="H154" s="323">
        <f>$G$154*(1+$H$104/$H$99)</f>
        <v>21508.688339240889</v>
      </c>
      <c r="I154" s="316">
        <f>H154</f>
        <v>21508.688339240889</v>
      </c>
      <c r="J154" s="316">
        <f t="shared" ref="J154:AG154" si="41">I154</f>
        <v>21508.688339240889</v>
      </c>
      <c r="K154" s="316">
        <f t="shared" si="41"/>
        <v>21508.688339240889</v>
      </c>
      <c r="L154" s="316">
        <f t="shared" si="41"/>
        <v>21508.688339240889</v>
      </c>
      <c r="M154" s="316">
        <f t="shared" si="41"/>
        <v>21508.688339240889</v>
      </c>
      <c r="N154" s="316">
        <f t="shared" si="41"/>
        <v>21508.688339240889</v>
      </c>
      <c r="O154" s="316">
        <f t="shared" si="41"/>
        <v>21508.688339240889</v>
      </c>
      <c r="P154" s="316">
        <f t="shared" si="41"/>
        <v>21508.688339240889</v>
      </c>
      <c r="Q154" s="316">
        <f t="shared" si="41"/>
        <v>21508.688339240889</v>
      </c>
      <c r="R154" s="316">
        <f t="shared" si="41"/>
        <v>21508.688339240889</v>
      </c>
      <c r="S154" s="316">
        <f t="shared" si="41"/>
        <v>21508.688339240889</v>
      </c>
      <c r="T154" s="316">
        <f t="shared" si="41"/>
        <v>21508.688339240889</v>
      </c>
      <c r="U154" s="316">
        <f t="shared" si="41"/>
        <v>21508.688339240889</v>
      </c>
      <c r="V154" s="316">
        <f t="shared" si="41"/>
        <v>21508.688339240889</v>
      </c>
      <c r="W154" s="316">
        <f t="shared" si="41"/>
        <v>21508.688339240889</v>
      </c>
      <c r="X154" s="316">
        <f t="shared" si="41"/>
        <v>21508.688339240889</v>
      </c>
      <c r="Y154" s="316">
        <f t="shared" si="41"/>
        <v>21508.688339240889</v>
      </c>
      <c r="Z154" s="316">
        <f t="shared" si="41"/>
        <v>21508.688339240889</v>
      </c>
      <c r="AA154" s="316">
        <f t="shared" si="41"/>
        <v>21508.688339240889</v>
      </c>
      <c r="AB154" s="316">
        <f t="shared" si="41"/>
        <v>21508.688339240889</v>
      </c>
      <c r="AC154" s="316">
        <f t="shared" si="41"/>
        <v>21508.688339240889</v>
      </c>
      <c r="AD154" s="316">
        <f t="shared" si="41"/>
        <v>21508.688339240889</v>
      </c>
      <c r="AE154" s="316">
        <f t="shared" si="41"/>
        <v>21508.688339240889</v>
      </c>
      <c r="AF154" s="316">
        <f t="shared" si="41"/>
        <v>21508.688339240889</v>
      </c>
      <c r="AG154" s="316">
        <f t="shared" si="41"/>
        <v>21508.688339240889</v>
      </c>
    </row>
    <row r="155" spans="1:33" x14ac:dyDescent="0.2">
      <c r="A155" s="50" t="s">
        <v>290</v>
      </c>
      <c r="B155" s="323">
        <f>$B$131*(1+$B$104/$B$99)</f>
        <v>10512.373641003716</v>
      </c>
      <c r="C155" s="323">
        <f>$B$155*(1+$C$104/$C$99)</f>
        <v>10533.100469716059</v>
      </c>
      <c r="D155" s="323">
        <f>$C$155*(1+$D$104/$D$99)</f>
        <v>10556.741753104525</v>
      </c>
      <c r="E155" s="323">
        <f>$D$155*(1+$E$104/$E$99)</f>
        <v>10584.803993887064</v>
      </c>
      <c r="F155" s="323">
        <f>$E$155*(1+$F$104/$F$99)</f>
        <v>10612.866234669604</v>
      </c>
      <c r="G155" s="323">
        <f>$F$155*(1+$G$104/$G$99)</f>
        <v>10612.866234669604</v>
      </c>
      <c r="H155" s="323">
        <f>$G$155*(1+$H$104/$H$99)</f>
        <v>10612.866234669604</v>
      </c>
      <c r="I155" s="316">
        <f>H155</f>
        <v>10612.866234669604</v>
      </c>
      <c r="J155" s="316">
        <f t="shared" ref="J155:AG155" si="42">I155</f>
        <v>10612.866234669604</v>
      </c>
      <c r="K155" s="316">
        <f t="shared" si="42"/>
        <v>10612.866234669604</v>
      </c>
      <c r="L155" s="316">
        <f t="shared" si="42"/>
        <v>10612.866234669604</v>
      </c>
      <c r="M155" s="316">
        <f t="shared" si="42"/>
        <v>10612.866234669604</v>
      </c>
      <c r="N155" s="316">
        <f t="shared" si="42"/>
        <v>10612.866234669604</v>
      </c>
      <c r="O155" s="316">
        <f t="shared" si="42"/>
        <v>10612.866234669604</v>
      </c>
      <c r="P155" s="316">
        <f t="shared" si="42"/>
        <v>10612.866234669604</v>
      </c>
      <c r="Q155" s="316">
        <f t="shared" si="42"/>
        <v>10612.866234669604</v>
      </c>
      <c r="R155" s="316">
        <f t="shared" si="42"/>
        <v>10612.866234669604</v>
      </c>
      <c r="S155" s="316">
        <f t="shared" si="42"/>
        <v>10612.866234669604</v>
      </c>
      <c r="T155" s="316">
        <f t="shared" si="42"/>
        <v>10612.866234669604</v>
      </c>
      <c r="U155" s="316">
        <f t="shared" si="42"/>
        <v>10612.866234669604</v>
      </c>
      <c r="V155" s="316">
        <f t="shared" si="42"/>
        <v>10612.866234669604</v>
      </c>
      <c r="W155" s="316">
        <f t="shared" si="42"/>
        <v>10612.866234669604</v>
      </c>
      <c r="X155" s="316">
        <f t="shared" si="42"/>
        <v>10612.866234669604</v>
      </c>
      <c r="Y155" s="316">
        <f t="shared" si="42"/>
        <v>10612.866234669604</v>
      </c>
      <c r="Z155" s="316">
        <f t="shared" si="42"/>
        <v>10612.866234669604</v>
      </c>
      <c r="AA155" s="316">
        <f t="shared" si="42"/>
        <v>10612.866234669604</v>
      </c>
      <c r="AB155" s="316">
        <f>AA155</f>
        <v>10612.866234669604</v>
      </c>
      <c r="AC155" s="316">
        <f>AB155</f>
        <v>10612.866234669604</v>
      </c>
      <c r="AD155" s="316">
        <f t="shared" si="42"/>
        <v>10612.866234669604</v>
      </c>
      <c r="AE155" s="316">
        <f t="shared" si="42"/>
        <v>10612.866234669604</v>
      </c>
      <c r="AF155" s="316">
        <f t="shared" si="42"/>
        <v>10612.866234669604</v>
      </c>
      <c r="AG155" s="316">
        <f t="shared" si="42"/>
        <v>10612.866234669604</v>
      </c>
    </row>
    <row r="156" spans="1:33" x14ac:dyDescent="0.2">
      <c r="A156" s="776" t="s">
        <v>291</v>
      </c>
      <c r="B156" s="777"/>
      <c r="C156" s="777"/>
      <c r="D156" s="777"/>
      <c r="E156" s="777"/>
      <c r="F156" s="777"/>
      <c r="G156" s="777"/>
      <c r="H156" s="777"/>
      <c r="I156" s="777"/>
      <c r="J156" s="777"/>
      <c r="K156" s="777"/>
      <c r="L156" s="777"/>
      <c r="M156" s="777"/>
      <c r="N156" s="777"/>
      <c r="O156" s="777"/>
      <c r="P156" s="777"/>
      <c r="Q156" s="777"/>
      <c r="R156" s="777"/>
      <c r="S156" s="777"/>
      <c r="T156" s="777"/>
      <c r="U156" s="777"/>
      <c r="V156" s="777"/>
      <c r="W156" s="777"/>
      <c r="X156" s="777"/>
      <c r="Y156" s="777"/>
      <c r="Z156" s="777"/>
      <c r="AA156" s="777"/>
      <c r="AB156" s="777"/>
      <c r="AC156" s="777"/>
      <c r="AD156" s="777"/>
      <c r="AE156" s="777"/>
      <c r="AF156" s="777"/>
      <c r="AG156" s="777"/>
    </row>
    <row r="157" spans="1:33" x14ac:dyDescent="0.2">
      <c r="A157" s="30" t="s">
        <v>292</v>
      </c>
      <c r="B157" s="324">
        <f>B133</f>
        <v>107237</v>
      </c>
      <c r="C157" s="324">
        <f>B157</f>
        <v>107237</v>
      </c>
      <c r="D157" s="324">
        <f t="shared" ref="D157:AG157" si="43">C157</f>
        <v>107237</v>
      </c>
      <c r="E157" s="324">
        <f t="shared" si="43"/>
        <v>107237</v>
      </c>
      <c r="F157" s="324">
        <f t="shared" si="43"/>
        <v>107237</v>
      </c>
      <c r="G157" s="324">
        <f t="shared" si="43"/>
        <v>107237</v>
      </c>
      <c r="H157" s="324">
        <f t="shared" si="43"/>
        <v>107237</v>
      </c>
      <c r="I157" s="317">
        <f t="shared" si="43"/>
        <v>107237</v>
      </c>
      <c r="J157" s="317">
        <f t="shared" si="43"/>
        <v>107237</v>
      </c>
      <c r="K157" s="317">
        <f t="shared" si="43"/>
        <v>107237</v>
      </c>
      <c r="L157" s="317">
        <f t="shared" si="43"/>
        <v>107237</v>
      </c>
      <c r="M157" s="317">
        <f t="shared" si="43"/>
        <v>107237</v>
      </c>
      <c r="N157" s="317">
        <f t="shared" si="43"/>
        <v>107237</v>
      </c>
      <c r="O157" s="317">
        <f t="shared" si="43"/>
        <v>107237</v>
      </c>
      <c r="P157" s="317">
        <f t="shared" si="43"/>
        <v>107237</v>
      </c>
      <c r="Q157" s="317">
        <f t="shared" si="43"/>
        <v>107237</v>
      </c>
      <c r="R157" s="317">
        <f t="shared" si="43"/>
        <v>107237</v>
      </c>
      <c r="S157" s="317">
        <f t="shared" si="43"/>
        <v>107237</v>
      </c>
      <c r="T157" s="317">
        <f t="shared" si="43"/>
        <v>107237</v>
      </c>
      <c r="U157" s="317">
        <f t="shared" si="43"/>
        <v>107237</v>
      </c>
      <c r="V157" s="317">
        <f t="shared" si="43"/>
        <v>107237</v>
      </c>
      <c r="W157" s="317">
        <f t="shared" si="43"/>
        <v>107237</v>
      </c>
      <c r="X157" s="317">
        <f t="shared" si="43"/>
        <v>107237</v>
      </c>
      <c r="Y157" s="317">
        <f t="shared" si="43"/>
        <v>107237</v>
      </c>
      <c r="Z157" s="317">
        <f t="shared" si="43"/>
        <v>107237</v>
      </c>
      <c r="AA157" s="317">
        <f t="shared" si="43"/>
        <v>107237</v>
      </c>
      <c r="AB157" s="317">
        <f t="shared" si="43"/>
        <v>107237</v>
      </c>
      <c r="AC157" s="317">
        <f t="shared" si="43"/>
        <v>107237</v>
      </c>
      <c r="AD157" s="317">
        <f t="shared" si="43"/>
        <v>107237</v>
      </c>
      <c r="AE157" s="317">
        <f t="shared" si="43"/>
        <v>107237</v>
      </c>
      <c r="AF157" s="317">
        <f t="shared" si="43"/>
        <v>107237</v>
      </c>
      <c r="AG157" s="317">
        <f t="shared" si="43"/>
        <v>107237</v>
      </c>
    </row>
    <row r="158" spans="1:33" x14ac:dyDescent="0.2">
      <c r="A158" s="30" t="s">
        <v>293</v>
      </c>
      <c r="B158" s="325">
        <f>B157*0.2409</f>
        <v>25833.3933</v>
      </c>
      <c r="C158" s="325">
        <f t="shared" ref="C158:H158" si="44">C157*0.2409</f>
        <v>25833.3933</v>
      </c>
      <c r="D158" s="325">
        <f t="shared" si="44"/>
        <v>25833.3933</v>
      </c>
      <c r="E158" s="325">
        <f t="shared" si="44"/>
        <v>25833.3933</v>
      </c>
      <c r="F158" s="325">
        <f t="shared" si="44"/>
        <v>25833.3933</v>
      </c>
      <c r="G158" s="325">
        <f t="shared" si="44"/>
        <v>25833.3933</v>
      </c>
      <c r="H158" s="325">
        <f t="shared" si="44"/>
        <v>25833.3933</v>
      </c>
      <c r="I158" s="318">
        <f>I157*0.2409</f>
        <v>25833.3933</v>
      </c>
      <c r="J158" s="318">
        <f t="shared" ref="J158:AG158" si="45">J157*0.2409</f>
        <v>25833.3933</v>
      </c>
      <c r="K158" s="318">
        <f t="shared" si="45"/>
        <v>25833.3933</v>
      </c>
      <c r="L158" s="318">
        <f t="shared" si="45"/>
        <v>25833.3933</v>
      </c>
      <c r="M158" s="318">
        <f t="shared" si="45"/>
        <v>25833.3933</v>
      </c>
      <c r="N158" s="318">
        <f t="shared" si="45"/>
        <v>25833.3933</v>
      </c>
      <c r="O158" s="318">
        <f t="shared" si="45"/>
        <v>25833.3933</v>
      </c>
      <c r="P158" s="318">
        <f t="shared" si="45"/>
        <v>25833.3933</v>
      </c>
      <c r="Q158" s="318">
        <f t="shared" si="45"/>
        <v>25833.3933</v>
      </c>
      <c r="R158" s="318">
        <f t="shared" si="45"/>
        <v>25833.3933</v>
      </c>
      <c r="S158" s="318">
        <f t="shared" si="45"/>
        <v>25833.3933</v>
      </c>
      <c r="T158" s="318">
        <f t="shared" si="45"/>
        <v>25833.3933</v>
      </c>
      <c r="U158" s="318">
        <f t="shared" si="45"/>
        <v>25833.3933</v>
      </c>
      <c r="V158" s="318">
        <f t="shared" si="45"/>
        <v>25833.3933</v>
      </c>
      <c r="W158" s="318">
        <f t="shared" si="45"/>
        <v>25833.3933</v>
      </c>
      <c r="X158" s="318">
        <f t="shared" si="45"/>
        <v>25833.3933</v>
      </c>
      <c r="Y158" s="318">
        <f t="shared" si="45"/>
        <v>25833.3933</v>
      </c>
      <c r="Z158" s="318">
        <f t="shared" si="45"/>
        <v>25833.3933</v>
      </c>
      <c r="AA158" s="318">
        <f t="shared" si="45"/>
        <v>25833.3933</v>
      </c>
      <c r="AB158" s="318">
        <f t="shared" si="45"/>
        <v>25833.3933</v>
      </c>
      <c r="AC158" s="318">
        <f t="shared" si="45"/>
        <v>25833.3933</v>
      </c>
      <c r="AD158" s="318">
        <f t="shared" si="45"/>
        <v>25833.3933</v>
      </c>
      <c r="AE158" s="318">
        <f t="shared" si="45"/>
        <v>25833.3933</v>
      </c>
      <c r="AF158" s="318">
        <f t="shared" si="45"/>
        <v>25833.3933</v>
      </c>
      <c r="AG158" s="318">
        <f t="shared" si="45"/>
        <v>25833.3933</v>
      </c>
    </row>
    <row r="159" spans="1:33" x14ac:dyDescent="0.2">
      <c r="A159" s="30" t="s">
        <v>294</v>
      </c>
      <c r="B159" s="324">
        <f>B135</f>
        <v>956</v>
      </c>
      <c r="C159" s="324">
        <f>B159</f>
        <v>956</v>
      </c>
      <c r="D159" s="324">
        <f t="shared" ref="D159:AG159" si="46">C159</f>
        <v>956</v>
      </c>
      <c r="E159" s="324">
        <f t="shared" si="46"/>
        <v>956</v>
      </c>
      <c r="F159" s="324">
        <f t="shared" si="46"/>
        <v>956</v>
      </c>
      <c r="G159" s="324">
        <f t="shared" si="46"/>
        <v>956</v>
      </c>
      <c r="H159" s="324">
        <f t="shared" si="46"/>
        <v>956</v>
      </c>
      <c r="I159" s="317">
        <f t="shared" si="46"/>
        <v>956</v>
      </c>
      <c r="J159" s="317">
        <f t="shared" si="46"/>
        <v>956</v>
      </c>
      <c r="K159" s="317">
        <f t="shared" si="46"/>
        <v>956</v>
      </c>
      <c r="L159" s="317">
        <f t="shared" si="46"/>
        <v>956</v>
      </c>
      <c r="M159" s="317">
        <f t="shared" si="46"/>
        <v>956</v>
      </c>
      <c r="N159" s="317">
        <f t="shared" si="46"/>
        <v>956</v>
      </c>
      <c r="O159" s="317">
        <f t="shared" si="46"/>
        <v>956</v>
      </c>
      <c r="P159" s="317">
        <f t="shared" si="46"/>
        <v>956</v>
      </c>
      <c r="Q159" s="317">
        <f t="shared" si="46"/>
        <v>956</v>
      </c>
      <c r="R159" s="317">
        <f t="shared" si="46"/>
        <v>956</v>
      </c>
      <c r="S159" s="317">
        <f t="shared" si="46"/>
        <v>956</v>
      </c>
      <c r="T159" s="317">
        <f t="shared" si="46"/>
        <v>956</v>
      </c>
      <c r="U159" s="317">
        <f t="shared" si="46"/>
        <v>956</v>
      </c>
      <c r="V159" s="317">
        <f t="shared" si="46"/>
        <v>956</v>
      </c>
      <c r="W159" s="317">
        <f t="shared" si="46"/>
        <v>956</v>
      </c>
      <c r="X159" s="317">
        <f t="shared" si="46"/>
        <v>956</v>
      </c>
      <c r="Y159" s="317">
        <f t="shared" si="46"/>
        <v>956</v>
      </c>
      <c r="Z159" s="317">
        <f t="shared" si="46"/>
        <v>956</v>
      </c>
      <c r="AA159" s="317">
        <f t="shared" si="46"/>
        <v>956</v>
      </c>
      <c r="AB159" s="317">
        <f t="shared" si="46"/>
        <v>956</v>
      </c>
      <c r="AC159" s="317">
        <f t="shared" si="46"/>
        <v>956</v>
      </c>
      <c r="AD159" s="317">
        <f t="shared" si="46"/>
        <v>956</v>
      </c>
      <c r="AE159" s="317">
        <f t="shared" si="46"/>
        <v>956</v>
      </c>
      <c r="AF159" s="317">
        <f t="shared" si="46"/>
        <v>956</v>
      </c>
      <c r="AG159" s="317">
        <f t="shared" si="46"/>
        <v>956</v>
      </c>
    </row>
    <row r="160" spans="1:33" x14ac:dyDescent="0.2">
      <c r="A160" s="782" t="s">
        <v>295</v>
      </c>
      <c r="B160" s="777"/>
      <c r="C160" s="777"/>
      <c r="D160" s="777"/>
      <c r="E160" s="777"/>
      <c r="F160" s="777"/>
      <c r="G160" s="777"/>
      <c r="H160" s="777"/>
      <c r="I160" s="777"/>
      <c r="J160" s="777"/>
      <c r="K160" s="777"/>
      <c r="L160" s="777"/>
      <c r="M160" s="777"/>
      <c r="N160" s="777"/>
      <c r="O160" s="777"/>
      <c r="P160" s="777"/>
      <c r="Q160" s="777"/>
      <c r="R160" s="777"/>
      <c r="S160" s="777"/>
      <c r="T160" s="777"/>
      <c r="U160" s="777"/>
      <c r="V160" s="777"/>
      <c r="W160" s="777"/>
      <c r="X160" s="777"/>
      <c r="Y160" s="777"/>
      <c r="Z160" s="777"/>
      <c r="AA160" s="777"/>
      <c r="AB160" s="777"/>
      <c r="AC160" s="777"/>
      <c r="AD160" s="777"/>
      <c r="AE160" s="777"/>
      <c r="AF160" s="777"/>
      <c r="AG160" s="777"/>
    </row>
    <row r="161" spans="1:33" x14ac:dyDescent="0.2">
      <c r="A161" s="776" t="s">
        <v>285</v>
      </c>
      <c r="B161" s="777"/>
      <c r="C161" s="777"/>
      <c r="D161" s="777"/>
      <c r="E161" s="777"/>
      <c r="F161" s="777"/>
      <c r="G161" s="777"/>
      <c r="H161" s="777"/>
      <c r="I161" s="777"/>
      <c r="J161" s="777"/>
      <c r="K161" s="777"/>
      <c r="L161" s="777"/>
      <c r="M161" s="777"/>
      <c r="N161" s="777"/>
      <c r="O161" s="777"/>
      <c r="P161" s="777"/>
      <c r="Q161" s="777"/>
      <c r="R161" s="777"/>
      <c r="S161" s="777"/>
      <c r="T161" s="777"/>
      <c r="U161" s="777"/>
      <c r="V161" s="777"/>
      <c r="W161" s="777"/>
      <c r="X161" s="777"/>
      <c r="Y161" s="777"/>
      <c r="Z161" s="777"/>
      <c r="AA161" s="777"/>
      <c r="AB161" s="777"/>
      <c r="AC161" s="777"/>
      <c r="AD161" s="777"/>
      <c r="AE161" s="777"/>
      <c r="AF161" s="777"/>
      <c r="AG161" s="777"/>
    </row>
    <row r="162" spans="1:33" x14ac:dyDescent="0.2">
      <c r="A162" s="30" t="s">
        <v>286</v>
      </c>
      <c r="B162" s="324">
        <f>$B$138*(1+$B$119/$B$113)*0.5</f>
        <v>15742.909755285549</v>
      </c>
      <c r="C162" s="324">
        <f>$B$162*(1+$C$119/$C$113)</f>
        <v>15771.977505037859</v>
      </c>
      <c r="D162" s="324">
        <f>$C$162*(1+$D$119/$D$113)</f>
        <v>15810.886217373174</v>
      </c>
      <c r="E162" s="324">
        <f>$D$162*(1+$E$119/$E$113)</f>
        <v>15849.294971928757</v>
      </c>
      <c r="F162" s="324">
        <f>$E$162*(1+$F$119/$F$113)</f>
        <v>15888.213133931358</v>
      </c>
      <c r="G162" s="324">
        <f>$F$162*(1+$G$119/$G$113)</f>
        <v>15888.213133931358</v>
      </c>
      <c r="H162" s="324">
        <f>$G$162*(1+$H$119/$H$113)</f>
        <v>15888.213133931358</v>
      </c>
      <c r="I162" s="317">
        <f>H162</f>
        <v>15888.213133931358</v>
      </c>
      <c r="J162" s="317">
        <f t="shared" ref="J162:AG166" si="47">I162</f>
        <v>15888.213133931358</v>
      </c>
      <c r="K162" s="317">
        <f t="shared" si="47"/>
        <v>15888.213133931358</v>
      </c>
      <c r="L162" s="317">
        <f t="shared" si="47"/>
        <v>15888.213133931358</v>
      </c>
      <c r="M162" s="317">
        <f t="shared" si="47"/>
        <v>15888.213133931358</v>
      </c>
      <c r="N162" s="317">
        <f t="shared" si="47"/>
        <v>15888.213133931358</v>
      </c>
      <c r="O162" s="317">
        <f t="shared" si="47"/>
        <v>15888.213133931358</v>
      </c>
      <c r="P162" s="317">
        <f>O162</f>
        <v>15888.213133931358</v>
      </c>
      <c r="Q162" s="317">
        <f>P162+50000</f>
        <v>65888.213133931364</v>
      </c>
      <c r="R162" s="317">
        <f t="shared" si="47"/>
        <v>65888.213133931364</v>
      </c>
      <c r="S162" s="317">
        <f t="shared" si="47"/>
        <v>65888.213133931364</v>
      </c>
      <c r="T162" s="317">
        <f>S162</f>
        <v>65888.213133931364</v>
      </c>
      <c r="U162" s="317">
        <f>T162+10000</f>
        <v>75888.213133931364</v>
      </c>
      <c r="V162" s="317">
        <f t="shared" si="47"/>
        <v>75888.213133931364</v>
      </c>
      <c r="W162" s="317">
        <f t="shared" si="47"/>
        <v>75888.213133931364</v>
      </c>
      <c r="X162" s="317">
        <f t="shared" si="47"/>
        <v>75888.213133931364</v>
      </c>
      <c r="Y162" s="317">
        <f t="shared" si="47"/>
        <v>75888.213133931364</v>
      </c>
      <c r="Z162" s="317">
        <f t="shared" si="47"/>
        <v>75888.213133931364</v>
      </c>
      <c r="AA162" s="317">
        <f t="shared" si="47"/>
        <v>75888.213133931364</v>
      </c>
      <c r="AB162" s="317">
        <f t="shared" si="47"/>
        <v>75888.213133931364</v>
      </c>
      <c r="AC162" s="317">
        <f t="shared" si="47"/>
        <v>75888.213133931364</v>
      </c>
      <c r="AD162" s="317">
        <f t="shared" si="47"/>
        <v>75888.213133931364</v>
      </c>
      <c r="AE162" s="317">
        <f t="shared" si="47"/>
        <v>75888.213133931364</v>
      </c>
      <c r="AF162" s="317">
        <f t="shared" si="47"/>
        <v>75888.213133931364</v>
      </c>
      <c r="AG162" s="317">
        <f t="shared" si="47"/>
        <v>75888.213133931364</v>
      </c>
    </row>
    <row r="163" spans="1:33" x14ac:dyDescent="0.2">
      <c r="A163" s="30" t="s">
        <v>287</v>
      </c>
      <c r="B163" s="324">
        <f>$B$139*(1+$B$119/$B$113)</f>
        <v>77787.080494272566</v>
      </c>
      <c r="C163" s="324">
        <f>$B$163*(1+$C$119/$C$113)</f>
        <v>77930.706763171882</v>
      </c>
      <c r="D163" s="324">
        <f>$C$163*(1+$D$119/$D$113)</f>
        <v>78122.958080457072</v>
      </c>
      <c r="E163" s="324">
        <f>$D$163*(1+$E$119/$E$113)</f>
        <v>78312.739063054454</v>
      </c>
      <c r="F163" s="324">
        <f>$E$163*(1+$F$119/$F$113)</f>
        <v>78505.037071964092</v>
      </c>
      <c r="G163" s="324">
        <f>$F$163*(1+$G$119/$G$113)</f>
        <v>78505.037071964092</v>
      </c>
      <c r="H163" s="324">
        <f>$G$163*(1+$H$119/$H$113)</f>
        <v>78505.037071964092</v>
      </c>
      <c r="I163" s="317">
        <f>H163</f>
        <v>78505.037071964092</v>
      </c>
      <c r="J163" s="317">
        <f t="shared" ref="J163:X163" si="48">I163</f>
        <v>78505.037071964092</v>
      </c>
      <c r="K163" s="317">
        <f t="shared" si="48"/>
        <v>78505.037071964092</v>
      </c>
      <c r="L163" s="317">
        <f t="shared" si="48"/>
        <v>78505.037071964092</v>
      </c>
      <c r="M163" s="317">
        <f t="shared" si="48"/>
        <v>78505.037071964092</v>
      </c>
      <c r="N163" s="317">
        <f t="shared" si="48"/>
        <v>78505.037071964092</v>
      </c>
      <c r="O163" s="317">
        <f t="shared" si="48"/>
        <v>78505.037071964092</v>
      </c>
      <c r="P163" s="317">
        <f t="shared" si="48"/>
        <v>78505.037071964092</v>
      </c>
      <c r="Q163" s="317">
        <f t="shared" si="48"/>
        <v>78505.037071964092</v>
      </c>
      <c r="R163" s="317">
        <f t="shared" si="48"/>
        <v>78505.037071964092</v>
      </c>
      <c r="S163" s="317">
        <f t="shared" si="48"/>
        <v>78505.037071964092</v>
      </c>
      <c r="T163" s="317">
        <f t="shared" si="48"/>
        <v>78505.037071964092</v>
      </c>
      <c r="U163" s="317">
        <f t="shared" si="48"/>
        <v>78505.037071964092</v>
      </c>
      <c r="V163" s="317">
        <f t="shared" si="48"/>
        <v>78505.037071964092</v>
      </c>
      <c r="W163" s="317">
        <f t="shared" si="48"/>
        <v>78505.037071964092</v>
      </c>
      <c r="X163" s="317">
        <f t="shared" si="48"/>
        <v>78505.037071964092</v>
      </c>
      <c r="Y163" s="317">
        <f t="shared" si="47"/>
        <v>78505.037071964092</v>
      </c>
      <c r="Z163" s="317">
        <f t="shared" si="47"/>
        <v>78505.037071964092</v>
      </c>
      <c r="AA163" s="317">
        <f t="shared" si="47"/>
        <v>78505.037071964092</v>
      </c>
      <c r="AB163" s="317">
        <f t="shared" si="47"/>
        <v>78505.037071964092</v>
      </c>
      <c r="AC163" s="317">
        <f t="shared" si="47"/>
        <v>78505.037071964092</v>
      </c>
      <c r="AD163" s="317">
        <f t="shared" si="47"/>
        <v>78505.037071964092</v>
      </c>
      <c r="AE163" s="317">
        <f t="shared" si="47"/>
        <v>78505.037071964092</v>
      </c>
      <c r="AF163" s="317">
        <f t="shared" si="47"/>
        <v>78505.037071964092</v>
      </c>
      <c r="AG163" s="317">
        <f t="shared" si="47"/>
        <v>78505.037071964092</v>
      </c>
    </row>
    <row r="164" spans="1:33" x14ac:dyDescent="0.2">
      <c r="A164" s="30" t="s">
        <v>288</v>
      </c>
      <c r="B164" s="324">
        <f>$B$140*(1+$B$119/$B$113)</f>
        <v>1922.0790547527092</v>
      </c>
      <c r="C164" s="324">
        <f>$B$164*(1+$C$119/$C$113)</f>
        <v>1925.6279865471604</v>
      </c>
      <c r="D164" s="324">
        <f>$C$164*(1+$D$119/$D$113)</f>
        <v>1930.3784184679173</v>
      </c>
      <c r="E164" s="324">
        <f>$D$164*(1+$E$119/$E$113)</f>
        <v>1935.0678096794522</v>
      </c>
      <c r="F164" s="324">
        <f>$E$164*(1+$F$119/$F$113)</f>
        <v>1939.8193953264167</v>
      </c>
      <c r="G164" s="324">
        <f>$F$164*(1+$G$119/$G$113)</f>
        <v>1939.8193953264167</v>
      </c>
      <c r="H164" s="324">
        <f>$G$164*(1+$H$119/$H$113)</f>
        <v>1939.8193953264167</v>
      </c>
      <c r="I164" s="317">
        <f>H164</f>
        <v>1939.8193953264167</v>
      </c>
      <c r="J164" s="317">
        <f t="shared" si="47"/>
        <v>1939.8193953264167</v>
      </c>
      <c r="K164" s="317">
        <f t="shared" si="47"/>
        <v>1939.8193953264167</v>
      </c>
      <c r="L164" s="317">
        <f t="shared" si="47"/>
        <v>1939.8193953264167</v>
      </c>
      <c r="M164" s="317">
        <f t="shared" si="47"/>
        <v>1939.8193953264167</v>
      </c>
      <c r="N164" s="317">
        <f t="shared" si="47"/>
        <v>1939.8193953264167</v>
      </c>
      <c r="O164" s="317">
        <f t="shared" si="47"/>
        <v>1939.8193953264167</v>
      </c>
      <c r="P164" s="317">
        <f t="shared" si="47"/>
        <v>1939.8193953264167</v>
      </c>
      <c r="Q164" s="317">
        <f t="shared" si="47"/>
        <v>1939.8193953264167</v>
      </c>
      <c r="R164" s="317">
        <f t="shared" si="47"/>
        <v>1939.8193953264167</v>
      </c>
      <c r="S164" s="317">
        <f t="shared" si="47"/>
        <v>1939.8193953264167</v>
      </c>
      <c r="T164" s="317">
        <f t="shared" si="47"/>
        <v>1939.8193953264167</v>
      </c>
      <c r="U164" s="317">
        <f t="shared" si="47"/>
        <v>1939.8193953264167</v>
      </c>
      <c r="V164" s="317">
        <f t="shared" si="47"/>
        <v>1939.8193953264167</v>
      </c>
      <c r="W164" s="317">
        <f t="shared" si="47"/>
        <v>1939.8193953264167</v>
      </c>
      <c r="X164" s="317">
        <f t="shared" si="47"/>
        <v>1939.8193953264167</v>
      </c>
      <c r="Y164" s="317">
        <f t="shared" si="47"/>
        <v>1939.8193953264167</v>
      </c>
      <c r="Z164" s="317">
        <f t="shared" si="47"/>
        <v>1939.8193953264167</v>
      </c>
      <c r="AA164" s="317">
        <f t="shared" si="47"/>
        <v>1939.8193953264167</v>
      </c>
      <c r="AB164" s="317">
        <f t="shared" si="47"/>
        <v>1939.8193953264167</v>
      </c>
      <c r="AC164" s="317">
        <f t="shared" si="47"/>
        <v>1939.8193953264167</v>
      </c>
      <c r="AD164" s="317">
        <f t="shared" si="47"/>
        <v>1939.8193953264167</v>
      </c>
      <c r="AE164" s="317">
        <f t="shared" si="47"/>
        <v>1939.8193953264167</v>
      </c>
      <c r="AF164" s="317">
        <f t="shared" si="47"/>
        <v>1939.8193953264167</v>
      </c>
      <c r="AG164" s="317">
        <f t="shared" si="47"/>
        <v>1939.8193953264167</v>
      </c>
    </row>
    <row r="165" spans="1:33" x14ac:dyDescent="0.2">
      <c r="A165" s="30" t="s">
        <v>289</v>
      </c>
      <c r="B165" s="324">
        <f>$B$141*(1+$B$119/$B$113)*0.5</f>
        <v>21853.377448901108</v>
      </c>
      <c r="C165" s="324">
        <f>$B$165*(1+$C$119/$C$113)</f>
        <v>21893.727582186613</v>
      </c>
      <c r="D165" s="324">
        <f>$C$165*(1+$D$119/$D$113)</f>
        <v>21947.738358461873</v>
      </c>
      <c r="E165" s="324">
        <f>$D$165*(1+$E$119/$E$113)</f>
        <v>22001.0551228779</v>
      </c>
      <c r="F165" s="324">
        <f>$E$165*(1+$F$119/$F$113)</f>
        <v>22055.079016623135</v>
      </c>
      <c r="G165" s="324">
        <f>$F$165*(1+$G$119/$G$113)</f>
        <v>22055.079016623135</v>
      </c>
      <c r="H165" s="324">
        <f>$G$165*(1+$H$119/$H$113)</f>
        <v>22055.079016623135</v>
      </c>
      <c r="I165" s="317">
        <f>H165</f>
        <v>22055.079016623135</v>
      </c>
      <c r="J165" s="317">
        <f t="shared" si="47"/>
        <v>22055.079016623135</v>
      </c>
      <c r="K165" s="317">
        <f t="shared" si="47"/>
        <v>22055.079016623135</v>
      </c>
      <c r="L165" s="317">
        <f t="shared" si="47"/>
        <v>22055.079016623135</v>
      </c>
      <c r="M165" s="317">
        <f t="shared" si="47"/>
        <v>22055.079016623135</v>
      </c>
      <c r="N165" s="317">
        <f t="shared" si="47"/>
        <v>22055.079016623135</v>
      </c>
      <c r="O165" s="317">
        <f t="shared" si="47"/>
        <v>22055.079016623135</v>
      </c>
      <c r="P165" s="317">
        <f t="shared" si="47"/>
        <v>22055.079016623135</v>
      </c>
      <c r="Q165" s="317">
        <f t="shared" si="47"/>
        <v>22055.079016623135</v>
      </c>
      <c r="R165" s="317">
        <f t="shared" si="47"/>
        <v>22055.079016623135</v>
      </c>
      <c r="S165" s="317">
        <f t="shared" si="47"/>
        <v>22055.079016623135</v>
      </c>
      <c r="T165" s="317">
        <f t="shared" si="47"/>
        <v>22055.079016623135</v>
      </c>
      <c r="U165" s="317">
        <f t="shared" si="47"/>
        <v>22055.079016623135</v>
      </c>
      <c r="V165" s="317">
        <f t="shared" si="47"/>
        <v>22055.079016623135</v>
      </c>
      <c r="W165" s="317">
        <f t="shared" si="47"/>
        <v>22055.079016623135</v>
      </c>
      <c r="X165" s="317">
        <f t="shared" si="47"/>
        <v>22055.079016623135</v>
      </c>
      <c r="Y165" s="317">
        <f t="shared" si="47"/>
        <v>22055.079016623135</v>
      </c>
      <c r="Z165" s="317">
        <f t="shared" si="47"/>
        <v>22055.079016623135</v>
      </c>
      <c r="AA165" s="317">
        <f t="shared" si="47"/>
        <v>22055.079016623135</v>
      </c>
      <c r="AB165" s="317">
        <f t="shared" si="47"/>
        <v>22055.079016623135</v>
      </c>
      <c r="AC165" s="317">
        <f t="shared" si="47"/>
        <v>22055.079016623135</v>
      </c>
      <c r="AD165" s="317">
        <f t="shared" si="47"/>
        <v>22055.079016623135</v>
      </c>
      <c r="AE165" s="317">
        <f t="shared" si="47"/>
        <v>22055.079016623135</v>
      </c>
      <c r="AF165" s="317">
        <f t="shared" si="47"/>
        <v>22055.079016623135</v>
      </c>
      <c r="AG165" s="317">
        <f t="shared" si="47"/>
        <v>22055.079016623135</v>
      </c>
    </row>
    <row r="166" spans="1:33" x14ac:dyDescent="0.2">
      <c r="A166" s="50" t="s">
        <v>290</v>
      </c>
      <c r="B166" s="324">
        <f>$B$142*(1+$B$119/$B$113)*0.5</f>
        <v>9855.9163209034905</v>
      </c>
      <c r="C166" s="324">
        <f>$B$166*(1+$C$119/$C$113)</f>
        <v>9874.1143105794163</v>
      </c>
      <c r="D166" s="324">
        <f>$C$166*(1+$D$119/$D$113)</f>
        <v>9898.4732771803774</v>
      </c>
      <c r="E166" s="324">
        <f>$D$166*(1+$E$119/$E$113)</f>
        <v>9922.5192430643438</v>
      </c>
      <c r="F166" s="324">
        <f>$E$166*(1+$F$119/$F$113)</f>
        <v>9946.8841256701289</v>
      </c>
      <c r="G166" s="324">
        <f>$F$166*(1+$G$119/$G$113)</f>
        <v>9946.8841256701289</v>
      </c>
      <c r="H166" s="324">
        <f>G166*(1+$H$119/$H$113)</f>
        <v>9946.8841256701289</v>
      </c>
      <c r="I166" s="317">
        <f>H166</f>
        <v>9946.8841256701289</v>
      </c>
      <c r="J166" s="317">
        <f t="shared" si="47"/>
        <v>9946.8841256701289</v>
      </c>
      <c r="K166" s="317">
        <f t="shared" si="47"/>
        <v>9946.8841256701289</v>
      </c>
      <c r="L166" s="317">
        <f t="shared" si="47"/>
        <v>9946.8841256701289</v>
      </c>
      <c r="M166" s="317">
        <f t="shared" si="47"/>
        <v>9946.8841256701289</v>
      </c>
      <c r="N166" s="317">
        <f t="shared" si="47"/>
        <v>9946.8841256701289</v>
      </c>
      <c r="O166" s="317">
        <f t="shared" si="47"/>
        <v>9946.8841256701289</v>
      </c>
      <c r="P166" s="317">
        <f t="shared" si="47"/>
        <v>9946.8841256701289</v>
      </c>
      <c r="Q166" s="317">
        <f t="shared" si="47"/>
        <v>9946.8841256701289</v>
      </c>
      <c r="R166" s="317">
        <f t="shared" si="47"/>
        <v>9946.8841256701289</v>
      </c>
      <c r="S166" s="317">
        <f t="shared" si="47"/>
        <v>9946.8841256701289</v>
      </c>
      <c r="T166" s="317">
        <f t="shared" si="47"/>
        <v>9946.8841256701289</v>
      </c>
      <c r="U166" s="317">
        <f t="shared" si="47"/>
        <v>9946.8841256701289</v>
      </c>
      <c r="V166" s="317">
        <f t="shared" si="47"/>
        <v>9946.8841256701289</v>
      </c>
      <c r="W166" s="317">
        <f t="shared" si="47"/>
        <v>9946.8841256701289</v>
      </c>
      <c r="X166" s="317">
        <f t="shared" si="47"/>
        <v>9946.8841256701289</v>
      </c>
      <c r="Y166" s="317">
        <f t="shared" si="47"/>
        <v>9946.8841256701289</v>
      </c>
      <c r="Z166" s="317">
        <f t="shared" si="47"/>
        <v>9946.8841256701289</v>
      </c>
      <c r="AA166" s="317">
        <f t="shared" si="47"/>
        <v>9946.8841256701289</v>
      </c>
      <c r="AB166" s="317">
        <f t="shared" ref="AB166:AG166" si="49">AA166</f>
        <v>9946.8841256701289</v>
      </c>
      <c r="AC166" s="317">
        <f t="shared" si="49"/>
        <v>9946.8841256701289</v>
      </c>
      <c r="AD166" s="317">
        <f t="shared" si="49"/>
        <v>9946.8841256701289</v>
      </c>
      <c r="AE166" s="317">
        <f t="shared" si="49"/>
        <v>9946.8841256701289</v>
      </c>
      <c r="AF166" s="317">
        <f t="shared" si="49"/>
        <v>9946.8841256701289</v>
      </c>
      <c r="AG166" s="317">
        <f t="shared" si="49"/>
        <v>9946.8841256701289</v>
      </c>
    </row>
    <row r="167" spans="1:33" x14ac:dyDescent="0.2">
      <c r="A167" s="776" t="s">
        <v>291</v>
      </c>
      <c r="B167" s="777"/>
      <c r="C167" s="777"/>
      <c r="D167" s="777"/>
      <c r="E167" s="777"/>
      <c r="F167" s="777"/>
      <c r="G167" s="777"/>
      <c r="H167" s="777"/>
      <c r="I167" s="777"/>
      <c r="J167" s="777"/>
      <c r="K167" s="777"/>
      <c r="L167" s="777"/>
      <c r="M167" s="777"/>
      <c r="N167" s="777"/>
      <c r="O167" s="777"/>
      <c r="P167" s="777"/>
      <c r="Q167" s="777"/>
      <c r="R167" s="777"/>
      <c r="S167" s="777"/>
      <c r="T167" s="777"/>
      <c r="U167" s="777"/>
      <c r="V167" s="777"/>
      <c r="W167" s="777"/>
      <c r="X167" s="777"/>
      <c r="Y167" s="777"/>
      <c r="Z167" s="777"/>
      <c r="AA167" s="777"/>
      <c r="AB167" s="777"/>
      <c r="AC167" s="777"/>
      <c r="AD167" s="777"/>
      <c r="AE167" s="777"/>
      <c r="AF167" s="777"/>
      <c r="AG167" s="777"/>
    </row>
    <row r="168" spans="1:33" x14ac:dyDescent="0.2">
      <c r="A168" s="50" t="s">
        <v>292</v>
      </c>
      <c r="B168" s="324">
        <f>B144</f>
        <v>178227</v>
      </c>
      <c r="C168" s="324">
        <f>B168</f>
        <v>178227</v>
      </c>
      <c r="D168" s="324">
        <f t="shared" ref="D168:AG168" si="50">C168</f>
        <v>178227</v>
      </c>
      <c r="E168" s="324">
        <f t="shared" si="50"/>
        <v>178227</v>
      </c>
      <c r="F168" s="324">
        <f t="shared" si="50"/>
        <v>178227</v>
      </c>
      <c r="G168" s="324">
        <f t="shared" si="50"/>
        <v>178227</v>
      </c>
      <c r="H168" s="324">
        <f t="shared" si="50"/>
        <v>178227</v>
      </c>
      <c r="I168" s="317">
        <f t="shared" si="50"/>
        <v>178227</v>
      </c>
      <c r="J168" s="317">
        <f t="shared" si="50"/>
        <v>178227</v>
      </c>
      <c r="K168" s="317">
        <f t="shared" si="50"/>
        <v>178227</v>
      </c>
      <c r="L168" s="317">
        <f t="shared" si="50"/>
        <v>178227</v>
      </c>
      <c r="M168" s="317">
        <f t="shared" si="50"/>
        <v>178227</v>
      </c>
      <c r="N168" s="317">
        <f t="shared" si="50"/>
        <v>178227</v>
      </c>
      <c r="O168" s="317">
        <f t="shared" si="50"/>
        <v>178227</v>
      </c>
      <c r="P168" s="317">
        <f t="shared" si="50"/>
        <v>178227</v>
      </c>
      <c r="Q168" s="317">
        <f t="shared" si="50"/>
        <v>178227</v>
      </c>
      <c r="R168" s="317">
        <f t="shared" si="50"/>
        <v>178227</v>
      </c>
      <c r="S168" s="317">
        <f t="shared" si="50"/>
        <v>178227</v>
      </c>
      <c r="T168" s="317">
        <f t="shared" si="50"/>
        <v>178227</v>
      </c>
      <c r="U168" s="317">
        <f t="shared" si="50"/>
        <v>178227</v>
      </c>
      <c r="V168" s="317">
        <f t="shared" si="50"/>
        <v>178227</v>
      </c>
      <c r="W168" s="317">
        <f t="shared" si="50"/>
        <v>178227</v>
      </c>
      <c r="X168" s="317">
        <f t="shared" si="50"/>
        <v>178227</v>
      </c>
      <c r="Y168" s="317">
        <f t="shared" si="50"/>
        <v>178227</v>
      </c>
      <c r="Z168" s="317">
        <f t="shared" si="50"/>
        <v>178227</v>
      </c>
      <c r="AA168" s="317">
        <f t="shared" si="50"/>
        <v>178227</v>
      </c>
      <c r="AB168" s="317">
        <f t="shared" si="50"/>
        <v>178227</v>
      </c>
      <c r="AC168" s="317">
        <f t="shared" si="50"/>
        <v>178227</v>
      </c>
      <c r="AD168" s="317">
        <f t="shared" si="50"/>
        <v>178227</v>
      </c>
      <c r="AE168" s="317">
        <f t="shared" si="50"/>
        <v>178227</v>
      </c>
      <c r="AF168" s="317">
        <f t="shared" si="50"/>
        <v>178227</v>
      </c>
      <c r="AG168" s="317">
        <f t="shared" si="50"/>
        <v>178227</v>
      </c>
    </row>
    <row r="169" spans="1:33" x14ac:dyDescent="0.2">
      <c r="A169" s="50" t="s">
        <v>293</v>
      </c>
      <c r="B169" s="325">
        <f>B168*0.2409</f>
        <v>42934.884299999998</v>
      </c>
      <c r="C169" s="325">
        <f t="shared" ref="C169:H169" si="51">C168*0.2409</f>
        <v>42934.884299999998</v>
      </c>
      <c r="D169" s="325">
        <f t="shared" si="51"/>
        <v>42934.884299999998</v>
      </c>
      <c r="E169" s="325">
        <f t="shared" si="51"/>
        <v>42934.884299999998</v>
      </c>
      <c r="F169" s="325">
        <f t="shared" si="51"/>
        <v>42934.884299999998</v>
      </c>
      <c r="G169" s="325">
        <f t="shared" si="51"/>
        <v>42934.884299999998</v>
      </c>
      <c r="H169" s="325">
        <f t="shared" si="51"/>
        <v>42934.884299999998</v>
      </c>
      <c r="I169" s="318">
        <f>I168*0.2409</f>
        <v>42934.884299999998</v>
      </c>
      <c r="J169" s="318">
        <f t="shared" ref="J169:AG169" si="52">J168*0.2409</f>
        <v>42934.884299999998</v>
      </c>
      <c r="K169" s="318">
        <f t="shared" si="52"/>
        <v>42934.884299999998</v>
      </c>
      <c r="L169" s="318">
        <f t="shared" si="52"/>
        <v>42934.884299999998</v>
      </c>
      <c r="M169" s="318">
        <f t="shared" si="52"/>
        <v>42934.884299999998</v>
      </c>
      <c r="N169" s="318">
        <f t="shared" si="52"/>
        <v>42934.884299999998</v>
      </c>
      <c r="O169" s="318">
        <f t="shared" si="52"/>
        <v>42934.884299999998</v>
      </c>
      <c r="P169" s="318">
        <f t="shared" si="52"/>
        <v>42934.884299999998</v>
      </c>
      <c r="Q169" s="318">
        <f t="shared" si="52"/>
        <v>42934.884299999998</v>
      </c>
      <c r="R169" s="318">
        <f t="shared" si="52"/>
        <v>42934.884299999998</v>
      </c>
      <c r="S169" s="318">
        <f t="shared" si="52"/>
        <v>42934.884299999998</v>
      </c>
      <c r="T169" s="318">
        <f t="shared" si="52"/>
        <v>42934.884299999998</v>
      </c>
      <c r="U169" s="318">
        <f t="shared" si="52"/>
        <v>42934.884299999998</v>
      </c>
      <c r="V169" s="318">
        <f t="shared" si="52"/>
        <v>42934.884299999998</v>
      </c>
      <c r="W169" s="318">
        <f t="shared" si="52"/>
        <v>42934.884299999998</v>
      </c>
      <c r="X169" s="318">
        <f t="shared" si="52"/>
        <v>42934.884299999998</v>
      </c>
      <c r="Y169" s="318">
        <f t="shared" si="52"/>
        <v>42934.884299999998</v>
      </c>
      <c r="Z169" s="318">
        <f t="shared" si="52"/>
        <v>42934.884299999998</v>
      </c>
      <c r="AA169" s="318">
        <f t="shared" si="52"/>
        <v>42934.884299999998</v>
      </c>
      <c r="AB169" s="318">
        <f t="shared" si="52"/>
        <v>42934.884299999998</v>
      </c>
      <c r="AC169" s="318">
        <f t="shared" si="52"/>
        <v>42934.884299999998</v>
      </c>
      <c r="AD169" s="318">
        <f t="shared" si="52"/>
        <v>42934.884299999998</v>
      </c>
      <c r="AE169" s="318">
        <f t="shared" si="52"/>
        <v>42934.884299999998</v>
      </c>
      <c r="AF169" s="318">
        <f t="shared" si="52"/>
        <v>42934.884299999998</v>
      </c>
      <c r="AG169" s="318">
        <f t="shared" si="52"/>
        <v>42934.884299999998</v>
      </c>
    </row>
    <row r="170" spans="1:33" x14ac:dyDescent="0.2">
      <c r="A170" s="50" t="s">
        <v>294</v>
      </c>
      <c r="B170" s="324">
        <f>B146</f>
        <v>1030</v>
      </c>
      <c r="C170" s="324">
        <f>B170</f>
        <v>1030</v>
      </c>
      <c r="D170" s="324">
        <f t="shared" ref="D170:AG170" si="53">C170</f>
        <v>1030</v>
      </c>
      <c r="E170" s="324">
        <f t="shared" si="53"/>
        <v>1030</v>
      </c>
      <c r="F170" s="324">
        <f t="shared" si="53"/>
        <v>1030</v>
      </c>
      <c r="G170" s="324">
        <f t="shared" si="53"/>
        <v>1030</v>
      </c>
      <c r="H170" s="324">
        <f t="shared" si="53"/>
        <v>1030</v>
      </c>
      <c r="I170" s="317">
        <f t="shared" si="53"/>
        <v>1030</v>
      </c>
      <c r="J170" s="317">
        <f t="shared" si="53"/>
        <v>1030</v>
      </c>
      <c r="K170" s="317">
        <f t="shared" si="53"/>
        <v>1030</v>
      </c>
      <c r="L170" s="317">
        <f t="shared" si="53"/>
        <v>1030</v>
      </c>
      <c r="M170" s="317">
        <f t="shared" si="53"/>
        <v>1030</v>
      </c>
      <c r="N170" s="317">
        <f t="shared" si="53"/>
        <v>1030</v>
      </c>
      <c r="O170" s="317">
        <f t="shared" si="53"/>
        <v>1030</v>
      </c>
      <c r="P170" s="317">
        <f t="shared" si="53"/>
        <v>1030</v>
      </c>
      <c r="Q170" s="317">
        <f t="shared" si="53"/>
        <v>1030</v>
      </c>
      <c r="R170" s="317">
        <f t="shared" si="53"/>
        <v>1030</v>
      </c>
      <c r="S170" s="317">
        <f t="shared" si="53"/>
        <v>1030</v>
      </c>
      <c r="T170" s="317">
        <f t="shared" si="53"/>
        <v>1030</v>
      </c>
      <c r="U170" s="317">
        <f t="shared" si="53"/>
        <v>1030</v>
      </c>
      <c r="V170" s="317">
        <f t="shared" si="53"/>
        <v>1030</v>
      </c>
      <c r="W170" s="317">
        <f t="shared" si="53"/>
        <v>1030</v>
      </c>
      <c r="X170" s="317">
        <f t="shared" si="53"/>
        <v>1030</v>
      </c>
      <c r="Y170" s="317">
        <f t="shared" si="53"/>
        <v>1030</v>
      </c>
      <c r="Z170" s="317">
        <f t="shared" si="53"/>
        <v>1030</v>
      </c>
      <c r="AA170" s="317">
        <f t="shared" si="53"/>
        <v>1030</v>
      </c>
      <c r="AB170" s="317">
        <f t="shared" si="53"/>
        <v>1030</v>
      </c>
      <c r="AC170" s="317">
        <f t="shared" si="53"/>
        <v>1030</v>
      </c>
      <c r="AD170" s="317">
        <f t="shared" si="53"/>
        <v>1030</v>
      </c>
      <c r="AE170" s="317">
        <f t="shared" si="53"/>
        <v>1030</v>
      </c>
      <c r="AF170" s="317">
        <f t="shared" si="53"/>
        <v>1030</v>
      </c>
      <c r="AG170" s="317">
        <f t="shared" si="53"/>
        <v>1030</v>
      </c>
    </row>
    <row r="171" spans="1:33" ht="14.25" x14ac:dyDescent="0.2">
      <c r="A171" s="65"/>
      <c r="B171" s="66"/>
      <c r="C171" s="67"/>
      <c r="D171" s="68"/>
      <c r="E171" s="68"/>
      <c r="F171" s="68"/>
      <c r="W171" s="29"/>
      <c r="X171" s="29"/>
      <c r="Y171" s="29"/>
      <c r="Z171" s="29"/>
      <c r="AA171" s="29"/>
      <c r="AB171" s="29"/>
      <c r="AC171" s="29"/>
      <c r="AD171" s="29"/>
      <c r="AE171" s="29"/>
      <c r="AF171" s="29"/>
    </row>
    <row r="172" spans="1:33" x14ac:dyDescent="0.2">
      <c r="A172" s="651" t="s">
        <v>172</v>
      </c>
      <c r="B172" s="44">
        <v>2018</v>
      </c>
      <c r="C172" s="44">
        <f t="shared" ref="C172:AG172" si="54">B172+1</f>
        <v>2019</v>
      </c>
      <c r="D172" s="44">
        <f t="shared" si="54"/>
        <v>2020</v>
      </c>
      <c r="E172" s="44">
        <f t="shared" si="54"/>
        <v>2021</v>
      </c>
      <c r="F172" s="44">
        <f t="shared" si="54"/>
        <v>2022</v>
      </c>
      <c r="G172" s="44">
        <f t="shared" si="54"/>
        <v>2023</v>
      </c>
      <c r="H172" s="44">
        <f t="shared" si="54"/>
        <v>2024</v>
      </c>
      <c r="I172" s="44">
        <f t="shared" si="54"/>
        <v>2025</v>
      </c>
      <c r="J172" s="44">
        <f t="shared" si="54"/>
        <v>2026</v>
      </c>
      <c r="K172" s="44">
        <f t="shared" si="54"/>
        <v>2027</v>
      </c>
      <c r="L172" s="44">
        <f t="shared" si="54"/>
        <v>2028</v>
      </c>
      <c r="M172" s="44">
        <f t="shared" si="54"/>
        <v>2029</v>
      </c>
      <c r="N172" s="44">
        <f t="shared" si="54"/>
        <v>2030</v>
      </c>
      <c r="O172" s="44">
        <f t="shared" si="54"/>
        <v>2031</v>
      </c>
      <c r="P172" s="44">
        <f t="shared" si="54"/>
        <v>2032</v>
      </c>
      <c r="Q172" s="44">
        <f t="shared" si="54"/>
        <v>2033</v>
      </c>
      <c r="R172" s="44">
        <f t="shared" si="54"/>
        <v>2034</v>
      </c>
      <c r="S172" s="44">
        <f t="shared" si="54"/>
        <v>2035</v>
      </c>
      <c r="T172" s="44">
        <f t="shared" si="54"/>
        <v>2036</v>
      </c>
      <c r="U172" s="44">
        <f t="shared" si="54"/>
        <v>2037</v>
      </c>
      <c r="V172" s="44">
        <f t="shared" si="54"/>
        <v>2038</v>
      </c>
      <c r="W172" s="44">
        <f t="shared" si="54"/>
        <v>2039</v>
      </c>
      <c r="X172" s="44">
        <f t="shared" si="54"/>
        <v>2040</v>
      </c>
      <c r="Y172" s="44">
        <f t="shared" si="54"/>
        <v>2041</v>
      </c>
      <c r="Z172" s="44">
        <f t="shared" si="54"/>
        <v>2042</v>
      </c>
      <c r="AA172" s="44">
        <f t="shared" si="54"/>
        <v>2043</v>
      </c>
      <c r="AB172" s="44">
        <f t="shared" si="54"/>
        <v>2044</v>
      </c>
      <c r="AC172" s="44">
        <f t="shared" si="54"/>
        <v>2045</v>
      </c>
      <c r="AD172" s="44">
        <f t="shared" si="54"/>
        <v>2046</v>
      </c>
      <c r="AE172" s="44">
        <f t="shared" si="54"/>
        <v>2047</v>
      </c>
      <c r="AF172" s="44">
        <f t="shared" si="54"/>
        <v>2048</v>
      </c>
      <c r="AG172" s="44">
        <f t="shared" si="54"/>
        <v>2049</v>
      </c>
    </row>
    <row r="173" spans="1:33" x14ac:dyDescent="0.2">
      <c r="A173" s="778" t="s">
        <v>284</v>
      </c>
      <c r="B173" s="779"/>
      <c r="C173" s="779"/>
      <c r="D173" s="779"/>
      <c r="E173" s="779"/>
      <c r="F173" s="779"/>
      <c r="G173" s="779"/>
      <c r="H173" s="779"/>
      <c r="I173" s="779"/>
      <c r="J173" s="779"/>
      <c r="K173" s="779"/>
      <c r="L173" s="779"/>
      <c r="M173" s="779"/>
      <c r="N173" s="779"/>
      <c r="O173" s="779"/>
      <c r="P173" s="779"/>
      <c r="Q173" s="779"/>
      <c r="R173" s="779"/>
      <c r="S173" s="779"/>
      <c r="T173" s="779"/>
      <c r="U173" s="779"/>
      <c r="V173" s="779"/>
      <c r="W173" s="779"/>
      <c r="X173" s="779"/>
      <c r="Y173" s="779"/>
      <c r="Z173" s="779"/>
      <c r="AA173" s="779"/>
      <c r="AB173" s="779"/>
      <c r="AC173" s="779"/>
      <c r="AD173" s="779"/>
      <c r="AE173" s="779"/>
      <c r="AF173" s="779"/>
      <c r="AG173" s="779"/>
    </row>
    <row r="174" spans="1:33" x14ac:dyDescent="0.2">
      <c r="A174" s="780" t="s">
        <v>285</v>
      </c>
      <c r="B174" s="781"/>
      <c r="C174" s="781"/>
      <c r="D174" s="781"/>
      <c r="E174" s="781"/>
      <c r="F174" s="781"/>
      <c r="G174" s="781"/>
      <c r="H174" s="781"/>
      <c r="I174" s="781"/>
      <c r="J174" s="781"/>
      <c r="K174" s="781"/>
      <c r="L174" s="781"/>
      <c r="M174" s="781"/>
      <c r="N174" s="781"/>
      <c r="O174" s="781"/>
      <c r="P174" s="781"/>
      <c r="Q174" s="781"/>
      <c r="R174" s="781"/>
      <c r="S174" s="781"/>
      <c r="T174" s="781"/>
      <c r="U174" s="781"/>
      <c r="V174" s="781"/>
      <c r="W174" s="781"/>
      <c r="X174" s="781"/>
      <c r="Y174" s="781"/>
      <c r="Z174" s="781"/>
      <c r="AA174" s="781"/>
      <c r="AB174" s="781"/>
      <c r="AC174" s="781"/>
      <c r="AD174" s="781"/>
      <c r="AE174" s="781"/>
      <c r="AF174" s="781"/>
      <c r="AG174" s="781"/>
    </row>
    <row r="175" spans="1:33" x14ac:dyDescent="0.2">
      <c r="A175" s="50" t="s">
        <v>286</v>
      </c>
      <c r="B175" s="323">
        <f>$B$127*(1+$B$103/$B$99)*(1+$B$104/$B$99)*0.75</f>
        <v>21887.848993296277</v>
      </c>
      <c r="C175" s="323">
        <f t="shared" ref="C175:H175" si="55">B$175*(1+C$103/C$99)*(1+C$104/C$99)</f>
        <v>21931.004394013402</v>
      </c>
      <c r="D175" s="323">
        <f t="shared" si="55"/>
        <v>22017.228549155378</v>
      </c>
      <c r="E175" s="323">
        <f t="shared" si="55"/>
        <v>22075.755392319737</v>
      </c>
      <c r="F175" s="323">
        <f t="shared" si="55"/>
        <v>22134.282235484097</v>
      </c>
      <c r="G175" s="323">
        <f t="shared" si="55"/>
        <v>22134.282235484097</v>
      </c>
      <c r="H175" s="323">
        <f t="shared" si="55"/>
        <v>22134.282235484097</v>
      </c>
      <c r="I175" s="316">
        <f>H175</f>
        <v>22134.282235484097</v>
      </c>
      <c r="J175" s="316">
        <f t="shared" ref="J175:AG175" si="56">I175</f>
        <v>22134.282235484097</v>
      </c>
      <c r="K175" s="316">
        <f t="shared" si="56"/>
        <v>22134.282235484097</v>
      </c>
      <c r="L175" s="316">
        <f t="shared" si="56"/>
        <v>22134.282235484097</v>
      </c>
      <c r="M175" s="316">
        <f t="shared" si="56"/>
        <v>22134.282235484097</v>
      </c>
      <c r="N175" s="316">
        <f t="shared" si="56"/>
        <v>22134.282235484097</v>
      </c>
      <c r="O175" s="316">
        <f t="shared" si="56"/>
        <v>22134.282235484097</v>
      </c>
      <c r="P175" s="316">
        <f t="shared" si="56"/>
        <v>22134.282235484097</v>
      </c>
      <c r="Q175" s="316">
        <f>P175</f>
        <v>22134.282235484097</v>
      </c>
      <c r="R175" s="316">
        <f t="shared" si="56"/>
        <v>22134.282235484097</v>
      </c>
      <c r="S175" s="316">
        <f t="shared" si="56"/>
        <v>22134.282235484097</v>
      </c>
      <c r="T175" s="316">
        <f t="shared" si="56"/>
        <v>22134.282235484097</v>
      </c>
      <c r="U175" s="316">
        <f>T175</f>
        <v>22134.282235484097</v>
      </c>
      <c r="V175" s="316">
        <f t="shared" si="56"/>
        <v>22134.282235484097</v>
      </c>
      <c r="W175" s="316">
        <f t="shared" si="56"/>
        <v>22134.282235484097</v>
      </c>
      <c r="X175" s="316">
        <f t="shared" si="56"/>
        <v>22134.282235484097</v>
      </c>
      <c r="Y175" s="316">
        <f t="shared" si="56"/>
        <v>22134.282235484097</v>
      </c>
      <c r="Z175" s="316">
        <f t="shared" si="56"/>
        <v>22134.282235484097</v>
      </c>
      <c r="AA175" s="316">
        <f t="shared" si="56"/>
        <v>22134.282235484097</v>
      </c>
      <c r="AB175" s="316">
        <f t="shared" si="56"/>
        <v>22134.282235484097</v>
      </c>
      <c r="AC175" s="316">
        <f t="shared" si="56"/>
        <v>22134.282235484097</v>
      </c>
      <c r="AD175" s="316">
        <f t="shared" si="56"/>
        <v>22134.282235484097</v>
      </c>
      <c r="AE175" s="316">
        <f t="shared" si="56"/>
        <v>22134.282235484097</v>
      </c>
      <c r="AF175" s="316">
        <f t="shared" si="56"/>
        <v>22134.282235484097</v>
      </c>
      <c r="AG175" s="316">
        <f t="shared" si="56"/>
        <v>22134.282235484097</v>
      </c>
    </row>
    <row r="176" spans="1:33" x14ac:dyDescent="0.2">
      <c r="A176" s="50" t="s">
        <v>287</v>
      </c>
      <c r="B176" s="323">
        <f>$B$128*(1+$B$103/$B$99)*(1+$B$104/$B$99)</f>
        <v>18244.003235663087</v>
      </c>
      <c r="C176" s="323">
        <f t="shared" ref="C176:H176" si="57">B$176*(1+C$103/C$99)*(1+C$104/C$99)</f>
        <v>18279.974210726043</v>
      </c>
      <c r="D176" s="323">
        <f t="shared" si="57"/>
        <v>18351.843939262839</v>
      </c>
      <c r="E176" s="323">
        <f t="shared" si="57"/>
        <v>18400.62734947326</v>
      </c>
      <c r="F176" s="323">
        <f t="shared" si="57"/>
        <v>18449.41075968368</v>
      </c>
      <c r="G176" s="323">
        <f t="shared" si="57"/>
        <v>18449.41075968368</v>
      </c>
      <c r="H176" s="323">
        <f t="shared" si="57"/>
        <v>18449.41075968368</v>
      </c>
      <c r="I176" s="316">
        <f>H176</f>
        <v>18449.41075968368</v>
      </c>
      <c r="J176" s="316">
        <f t="shared" ref="J176:AG176" si="58">I176</f>
        <v>18449.41075968368</v>
      </c>
      <c r="K176" s="316">
        <f t="shared" si="58"/>
        <v>18449.41075968368</v>
      </c>
      <c r="L176" s="316">
        <f t="shared" si="58"/>
        <v>18449.41075968368</v>
      </c>
      <c r="M176" s="316">
        <f t="shared" si="58"/>
        <v>18449.41075968368</v>
      </c>
      <c r="N176" s="316">
        <f t="shared" si="58"/>
        <v>18449.41075968368</v>
      </c>
      <c r="O176" s="316">
        <f t="shared" si="58"/>
        <v>18449.41075968368</v>
      </c>
      <c r="P176" s="316">
        <f t="shared" si="58"/>
        <v>18449.41075968368</v>
      </c>
      <c r="Q176" s="316">
        <f t="shared" si="58"/>
        <v>18449.41075968368</v>
      </c>
      <c r="R176" s="316">
        <f t="shared" si="58"/>
        <v>18449.41075968368</v>
      </c>
      <c r="S176" s="316">
        <f t="shared" si="58"/>
        <v>18449.41075968368</v>
      </c>
      <c r="T176" s="316">
        <f t="shared" si="58"/>
        <v>18449.41075968368</v>
      </c>
      <c r="U176" s="316">
        <f t="shared" si="58"/>
        <v>18449.41075968368</v>
      </c>
      <c r="V176" s="316">
        <f t="shared" si="58"/>
        <v>18449.41075968368</v>
      </c>
      <c r="W176" s="316">
        <f t="shared" si="58"/>
        <v>18449.41075968368</v>
      </c>
      <c r="X176" s="316">
        <f t="shared" si="58"/>
        <v>18449.41075968368</v>
      </c>
      <c r="Y176" s="316">
        <f t="shared" si="58"/>
        <v>18449.41075968368</v>
      </c>
      <c r="Z176" s="316">
        <f t="shared" si="58"/>
        <v>18449.41075968368</v>
      </c>
      <c r="AA176" s="316">
        <f t="shared" si="58"/>
        <v>18449.41075968368</v>
      </c>
      <c r="AB176" s="316">
        <f t="shared" si="58"/>
        <v>18449.41075968368</v>
      </c>
      <c r="AC176" s="316">
        <f t="shared" si="58"/>
        <v>18449.41075968368</v>
      </c>
      <c r="AD176" s="316">
        <f t="shared" si="58"/>
        <v>18449.41075968368</v>
      </c>
      <c r="AE176" s="316">
        <f t="shared" si="58"/>
        <v>18449.41075968368</v>
      </c>
      <c r="AF176" s="316">
        <f t="shared" si="58"/>
        <v>18449.41075968368</v>
      </c>
      <c r="AG176" s="316">
        <f t="shared" si="58"/>
        <v>18449.41075968368</v>
      </c>
    </row>
    <row r="177" spans="1:33" x14ac:dyDescent="0.2">
      <c r="A177" s="50" t="s">
        <v>288</v>
      </c>
      <c r="B177" s="323">
        <f>$B$129*(1+$B$103/$B$99)*(1+$B$104/$B$99)</f>
        <v>17899.663440147444</v>
      </c>
      <c r="C177" s="323">
        <f t="shared" ref="C177:H177" si="59">B$177*(1+C$103/C$99)*(1+C$104/C$99)</f>
        <v>17934.955494140406</v>
      </c>
      <c r="D177" s="323">
        <f t="shared" si="59"/>
        <v>18005.4687436573</v>
      </c>
      <c r="E177" s="323">
        <f t="shared" si="59"/>
        <v>18053.331409156188</v>
      </c>
      <c r="F177" s="323">
        <f t="shared" si="59"/>
        <v>18101.194074655075</v>
      </c>
      <c r="G177" s="323">
        <f t="shared" si="59"/>
        <v>18101.194074655075</v>
      </c>
      <c r="H177" s="323">
        <f t="shared" si="59"/>
        <v>18101.194074655075</v>
      </c>
      <c r="I177" s="316">
        <f>H177</f>
        <v>18101.194074655075</v>
      </c>
      <c r="J177" s="316">
        <f t="shared" ref="J177:AG177" si="60">I177</f>
        <v>18101.194074655075</v>
      </c>
      <c r="K177" s="316">
        <f t="shared" si="60"/>
        <v>18101.194074655075</v>
      </c>
      <c r="L177" s="316">
        <f t="shared" si="60"/>
        <v>18101.194074655075</v>
      </c>
      <c r="M177" s="316">
        <f t="shared" si="60"/>
        <v>18101.194074655075</v>
      </c>
      <c r="N177" s="316">
        <f t="shared" si="60"/>
        <v>18101.194074655075</v>
      </c>
      <c r="O177" s="316">
        <f t="shared" si="60"/>
        <v>18101.194074655075</v>
      </c>
      <c r="P177" s="316">
        <f t="shared" si="60"/>
        <v>18101.194074655075</v>
      </c>
      <c r="Q177" s="316">
        <f t="shared" si="60"/>
        <v>18101.194074655075</v>
      </c>
      <c r="R177" s="316">
        <f t="shared" si="60"/>
        <v>18101.194074655075</v>
      </c>
      <c r="S177" s="316">
        <f t="shared" si="60"/>
        <v>18101.194074655075</v>
      </c>
      <c r="T177" s="316">
        <f t="shared" si="60"/>
        <v>18101.194074655075</v>
      </c>
      <c r="U177" s="316">
        <f t="shared" si="60"/>
        <v>18101.194074655075</v>
      </c>
      <c r="V177" s="316">
        <f t="shared" si="60"/>
        <v>18101.194074655075</v>
      </c>
      <c r="W177" s="316">
        <f t="shared" si="60"/>
        <v>18101.194074655075</v>
      </c>
      <c r="X177" s="316">
        <f t="shared" si="60"/>
        <v>18101.194074655075</v>
      </c>
      <c r="Y177" s="316">
        <f t="shared" si="60"/>
        <v>18101.194074655075</v>
      </c>
      <c r="Z177" s="316">
        <f t="shared" si="60"/>
        <v>18101.194074655075</v>
      </c>
      <c r="AA177" s="316">
        <f t="shared" si="60"/>
        <v>18101.194074655075</v>
      </c>
      <c r="AB177" s="316">
        <f t="shared" si="60"/>
        <v>18101.194074655075</v>
      </c>
      <c r="AC177" s="316">
        <f t="shared" si="60"/>
        <v>18101.194074655075</v>
      </c>
      <c r="AD177" s="316">
        <f t="shared" si="60"/>
        <v>18101.194074655075</v>
      </c>
      <c r="AE177" s="316">
        <f t="shared" si="60"/>
        <v>18101.194074655075</v>
      </c>
      <c r="AF177" s="316">
        <f t="shared" si="60"/>
        <v>18101.194074655075</v>
      </c>
      <c r="AG177" s="316">
        <f t="shared" si="60"/>
        <v>18101.194074655075</v>
      </c>
    </row>
    <row r="178" spans="1:33" x14ac:dyDescent="0.2">
      <c r="A178" s="50" t="s">
        <v>289</v>
      </c>
      <c r="B178" s="323">
        <f>$B$130*(1+$B$103/$B$99)*(1+$B$104/$B$99)</f>
        <v>21305.023859752724</v>
      </c>
      <c r="C178" s="323">
        <f t="shared" ref="C178:H178" si="61">B$178*(1+C$103/C$99)*(1+C$104/C$99)</f>
        <v>21347.030127350656</v>
      </c>
      <c r="D178" s="323">
        <f t="shared" si="61"/>
        <v>21430.958323453866</v>
      </c>
      <c r="E178" s="323">
        <f t="shared" si="61"/>
        <v>21487.926725896454</v>
      </c>
      <c r="F178" s="323">
        <f t="shared" si="61"/>
        <v>21544.895128339042</v>
      </c>
      <c r="G178" s="323">
        <f t="shared" si="61"/>
        <v>21544.895128339042</v>
      </c>
      <c r="H178" s="323">
        <f t="shared" si="61"/>
        <v>21544.895128339042</v>
      </c>
      <c r="I178" s="316">
        <f>H178</f>
        <v>21544.895128339042</v>
      </c>
      <c r="J178" s="316">
        <f t="shared" ref="J178:AG178" si="62">I178</f>
        <v>21544.895128339042</v>
      </c>
      <c r="K178" s="316">
        <f t="shared" si="62"/>
        <v>21544.895128339042</v>
      </c>
      <c r="L178" s="316">
        <f t="shared" si="62"/>
        <v>21544.895128339042</v>
      </c>
      <c r="M178" s="316">
        <f t="shared" si="62"/>
        <v>21544.895128339042</v>
      </c>
      <c r="N178" s="316">
        <f t="shared" si="62"/>
        <v>21544.895128339042</v>
      </c>
      <c r="O178" s="316">
        <f t="shared" si="62"/>
        <v>21544.895128339042</v>
      </c>
      <c r="P178" s="316">
        <f t="shared" si="62"/>
        <v>21544.895128339042</v>
      </c>
      <c r="Q178" s="316">
        <f t="shared" si="62"/>
        <v>21544.895128339042</v>
      </c>
      <c r="R178" s="316">
        <f t="shared" si="62"/>
        <v>21544.895128339042</v>
      </c>
      <c r="S178" s="316">
        <f t="shared" si="62"/>
        <v>21544.895128339042</v>
      </c>
      <c r="T178" s="316">
        <f t="shared" si="62"/>
        <v>21544.895128339042</v>
      </c>
      <c r="U178" s="316">
        <f t="shared" si="62"/>
        <v>21544.895128339042</v>
      </c>
      <c r="V178" s="316">
        <f t="shared" si="62"/>
        <v>21544.895128339042</v>
      </c>
      <c r="W178" s="316">
        <f t="shared" si="62"/>
        <v>21544.895128339042</v>
      </c>
      <c r="X178" s="316">
        <f t="shared" si="62"/>
        <v>21544.895128339042</v>
      </c>
      <c r="Y178" s="316">
        <f t="shared" si="62"/>
        <v>21544.895128339042</v>
      </c>
      <c r="Z178" s="316">
        <f t="shared" si="62"/>
        <v>21544.895128339042</v>
      </c>
      <c r="AA178" s="316">
        <f t="shared" si="62"/>
        <v>21544.895128339042</v>
      </c>
      <c r="AB178" s="316">
        <f t="shared" si="62"/>
        <v>21544.895128339042</v>
      </c>
      <c r="AC178" s="316">
        <f t="shared" si="62"/>
        <v>21544.895128339042</v>
      </c>
      <c r="AD178" s="316">
        <f t="shared" si="62"/>
        <v>21544.895128339042</v>
      </c>
      <c r="AE178" s="316">
        <f t="shared" si="62"/>
        <v>21544.895128339042</v>
      </c>
      <c r="AF178" s="316">
        <f t="shared" si="62"/>
        <v>21544.895128339042</v>
      </c>
      <c r="AG178" s="316">
        <f t="shared" si="62"/>
        <v>21544.895128339042</v>
      </c>
    </row>
    <row r="179" spans="1:33" x14ac:dyDescent="0.2">
      <c r="A179" s="50" t="s">
        <v>290</v>
      </c>
      <c r="B179" s="323">
        <f>$B$131*(1+$B$103/$B$99)*(1+$B$104/$B$99)</f>
        <v>10512.373641003716</v>
      </c>
      <c r="C179" s="323">
        <f t="shared" ref="C179:H179" si="63">B$179*(1+C$103/C$99)*(1+C$104/C$99)</f>
        <v>10533.100469716059</v>
      </c>
      <c r="D179" s="323">
        <f t="shared" si="63"/>
        <v>10574.51251235259</v>
      </c>
      <c r="E179" s="323">
        <f t="shared" si="63"/>
        <v>10602.621991888958</v>
      </c>
      <c r="F179" s="323">
        <f t="shared" si="63"/>
        <v>10630.731471425326</v>
      </c>
      <c r="G179" s="323">
        <f t="shared" si="63"/>
        <v>10630.731471425326</v>
      </c>
      <c r="H179" s="323">
        <f t="shared" si="63"/>
        <v>10630.731471425326</v>
      </c>
      <c r="I179" s="316">
        <f>H179</f>
        <v>10630.731471425326</v>
      </c>
      <c r="J179" s="316">
        <f t="shared" ref="J179:AG179" si="64">I179</f>
        <v>10630.731471425326</v>
      </c>
      <c r="K179" s="316">
        <f t="shared" si="64"/>
        <v>10630.731471425326</v>
      </c>
      <c r="L179" s="316">
        <f t="shared" si="64"/>
        <v>10630.731471425326</v>
      </c>
      <c r="M179" s="316">
        <f t="shared" si="64"/>
        <v>10630.731471425326</v>
      </c>
      <c r="N179" s="316">
        <f t="shared" si="64"/>
        <v>10630.731471425326</v>
      </c>
      <c r="O179" s="316">
        <f t="shared" si="64"/>
        <v>10630.731471425326</v>
      </c>
      <c r="P179" s="316">
        <f t="shared" si="64"/>
        <v>10630.731471425326</v>
      </c>
      <c r="Q179" s="316">
        <f t="shared" si="64"/>
        <v>10630.731471425326</v>
      </c>
      <c r="R179" s="316">
        <f t="shared" si="64"/>
        <v>10630.731471425326</v>
      </c>
      <c r="S179" s="316">
        <f t="shared" si="64"/>
        <v>10630.731471425326</v>
      </c>
      <c r="T179" s="316">
        <f t="shared" si="64"/>
        <v>10630.731471425326</v>
      </c>
      <c r="U179" s="316">
        <f t="shared" si="64"/>
        <v>10630.731471425326</v>
      </c>
      <c r="V179" s="316">
        <f t="shared" si="64"/>
        <v>10630.731471425326</v>
      </c>
      <c r="W179" s="316">
        <f t="shared" si="64"/>
        <v>10630.731471425326</v>
      </c>
      <c r="X179" s="316">
        <f t="shared" si="64"/>
        <v>10630.731471425326</v>
      </c>
      <c r="Y179" s="316">
        <f t="shared" si="64"/>
        <v>10630.731471425326</v>
      </c>
      <c r="Z179" s="316">
        <f t="shared" si="64"/>
        <v>10630.731471425326</v>
      </c>
      <c r="AA179" s="316">
        <f t="shared" si="64"/>
        <v>10630.731471425326</v>
      </c>
      <c r="AB179" s="316">
        <f>AA179</f>
        <v>10630.731471425326</v>
      </c>
      <c r="AC179" s="316">
        <f>AB179+7000</f>
        <v>17630.731471425326</v>
      </c>
      <c r="AD179" s="316">
        <f t="shared" si="64"/>
        <v>17630.731471425326</v>
      </c>
      <c r="AE179" s="316">
        <f t="shared" si="64"/>
        <v>17630.731471425326</v>
      </c>
      <c r="AF179" s="316">
        <f t="shared" si="64"/>
        <v>17630.731471425326</v>
      </c>
      <c r="AG179" s="316">
        <f t="shared" si="64"/>
        <v>17630.731471425326</v>
      </c>
    </row>
    <row r="180" spans="1:33" x14ac:dyDescent="0.2">
      <c r="A180" s="789" t="s">
        <v>291</v>
      </c>
      <c r="B180" s="779"/>
      <c r="C180" s="779"/>
      <c r="D180" s="779"/>
      <c r="E180" s="779"/>
      <c r="F180" s="779"/>
      <c r="G180" s="779"/>
      <c r="H180" s="779"/>
      <c r="I180" s="779"/>
      <c r="J180" s="779"/>
      <c r="K180" s="779"/>
      <c r="L180" s="779"/>
      <c r="M180" s="779"/>
      <c r="N180" s="779"/>
      <c r="O180" s="779"/>
      <c r="P180" s="779"/>
      <c r="Q180" s="779"/>
      <c r="R180" s="779"/>
      <c r="S180" s="779"/>
      <c r="T180" s="779"/>
      <c r="U180" s="779"/>
      <c r="V180" s="779"/>
      <c r="W180" s="779"/>
      <c r="X180" s="779"/>
      <c r="Y180" s="779"/>
      <c r="Z180" s="779"/>
      <c r="AA180" s="779"/>
      <c r="AB180" s="779"/>
      <c r="AC180" s="779"/>
      <c r="AD180" s="779"/>
      <c r="AE180" s="779"/>
      <c r="AF180" s="779"/>
      <c r="AG180" s="779"/>
    </row>
    <row r="181" spans="1:33" x14ac:dyDescent="0.2">
      <c r="A181" s="30" t="s">
        <v>292</v>
      </c>
      <c r="B181" s="324">
        <f>B157</f>
        <v>107237</v>
      </c>
      <c r="C181" s="324">
        <f>B181</f>
        <v>107237</v>
      </c>
      <c r="D181" s="324">
        <f t="shared" ref="D181:AG181" si="65">C181</f>
        <v>107237</v>
      </c>
      <c r="E181" s="324">
        <f t="shared" si="65"/>
        <v>107237</v>
      </c>
      <c r="F181" s="324">
        <f t="shared" si="65"/>
        <v>107237</v>
      </c>
      <c r="G181" s="324">
        <f t="shared" si="65"/>
        <v>107237</v>
      </c>
      <c r="H181" s="324">
        <f t="shared" si="65"/>
        <v>107237</v>
      </c>
      <c r="I181" s="317">
        <f t="shared" si="65"/>
        <v>107237</v>
      </c>
      <c r="J181" s="317">
        <f t="shared" si="65"/>
        <v>107237</v>
      </c>
      <c r="K181" s="317">
        <f t="shared" si="65"/>
        <v>107237</v>
      </c>
      <c r="L181" s="317">
        <f t="shared" si="65"/>
        <v>107237</v>
      </c>
      <c r="M181" s="317">
        <f t="shared" si="65"/>
        <v>107237</v>
      </c>
      <c r="N181" s="317">
        <f t="shared" si="65"/>
        <v>107237</v>
      </c>
      <c r="O181" s="317">
        <f t="shared" si="65"/>
        <v>107237</v>
      </c>
      <c r="P181" s="317">
        <f t="shared" si="65"/>
        <v>107237</v>
      </c>
      <c r="Q181" s="317">
        <f t="shared" si="65"/>
        <v>107237</v>
      </c>
      <c r="R181" s="317">
        <f t="shared" si="65"/>
        <v>107237</v>
      </c>
      <c r="S181" s="317">
        <f t="shared" si="65"/>
        <v>107237</v>
      </c>
      <c r="T181" s="317">
        <f t="shared" si="65"/>
        <v>107237</v>
      </c>
      <c r="U181" s="317">
        <f t="shared" si="65"/>
        <v>107237</v>
      </c>
      <c r="V181" s="317">
        <f t="shared" si="65"/>
        <v>107237</v>
      </c>
      <c r="W181" s="317">
        <f t="shared" si="65"/>
        <v>107237</v>
      </c>
      <c r="X181" s="317">
        <f t="shared" si="65"/>
        <v>107237</v>
      </c>
      <c r="Y181" s="317">
        <f t="shared" si="65"/>
        <v>107237</v>
      </c>
      <c r="Z181" s="317">
        <f t="shared" si="65"/>
        <v>107237</v>
      </c>
      <c r="AA181" s="317">
        <f t="shared" si="65"/>
        <v>107237</v>
      </c>
      <c r="AB181" s="317">
        <f t="shared" si="65"/>
        <v>107237</v>
      </c>
      <c r="AC181" s="317">
        <f t="shared" si="65"/>
        <v>107237</v>
      </c>
      <c r="AD181" s="317">
        <f t="shared" si="65"/>
        <v>107237</v>
      </c>
      <c r="AE181" s="317">
        <f t="shared" si="65"/>
        <v>107237</v>
      </c>
      <c r="AF181" s="317">
        <f t="shared" si="65"/>
        <v>107237</v>
      </c>
      <c r="AG181" s="317">
        <f t="shared" si="65"/>
        <v>107237</v>
      </c>
    </row>
    <row r="182" spans="1:33" x14ac:dyDescent="0.2">
      <c r="A182" s="30" t="s">
        <v>293</v>
      </c>
      <c r="B182" s="325">
        <f>B181*0.2409</f>
        <v>25833.3933</v>
      </c>
      <c r="C182" s="325">
        <f t="shared" ref="C182:H182" si="66">C181*0.2409</f>
        <v>25833.3933</v>
      </c>
      <c r="D182" s="325">
        <f t="shared" si="66"/>
        <v>25833.3933</v>
      </c>
      <c r="E182" s="325">
        <f t="shared" si="66"/>
        <v>25833.3933</v>
      </c>
      <c r="F182" s="325">
        <f t="shared" si="66"/>
        <v>25833.3933</v>
      </c>
      <c r="G182" s="325">
        <f t="shared" si="66"/>
        <v>25833.3933</v>
      </c>
      <c r="H182" s="325">
        <f t="shared" si="66"/>
        <v>25833.3933</v>
      </c>
      <c r="I182" s="318">
        <f>I181*0.2409</f>
        <v>25833.3933</v>
      </c>
      <c r="J182" s="318">
        <f t="shared" ref="J182:AG182" si="67">J181*0.2409</f>
        <v>25833.3933</v>
      </c>
      <c r="K182" s="318">
        <f t="shared" si="67"/>
        <v>25833.3933</v>
      </c>
      <c r="L182" s="318">
        <f t="shared" si="67"/>
        <v>25833.3933</v>
      </c>
      <c r="M182" s="318">
        <f t="shared" si="67"/>
        <v>25833.3933</v>
      </c>
      <c r="N182" s="318">
        <f t="shared" si="67"/>
        <v>25833.3933</v>
      </c>
      <c r="O182" s="318">
        <f t="shared" si="67"/>
        <v>25833.3933</v>
      </c>
      <c r="P182" s="318">
        <f t="shared" si="67"/>
        <v>25833.3933</v>
      </c>
      <c r="Q182" s="318">
        <f t="shared" si="67"/>
        <v>25833.3933</v>
      </c>
      <c r="R182" s="318">
        <f t="shared" si="67"/>
        <v>25833.3933</v>
      </c>
      <c r="S182" s="318">
        <f t="shared" si="67"/>
        <v>25833.3933</v>
      </c>
      <c r="T182" s="318">
        <f t="shared" si="67"/>
        <v>25833.3933</v>
      </c>
      <c r="U182" s="318">
        <f t="shared" si="67"/>
        <v>25833.3933</v>
      </c>
      <c r="V182" s="318">
        <f t="shared" si="67"/>
        <v>25833.3933</v>
      </c>
      <c r="W182" s="318">
        <f t="shared" si="67"/>
        <v>25833.3933</v>
      </c>
      <c r="X182" s="318">
        <f t="shared" si="67"/>
        <v>25833.3933</v>
      </c>
      <c r="Y182" s="318">
        <f t="shared" si="67"/>
        <v>25833.3933</v>
      </c>
      <c r="Z182" s="318">
        <f t="shared" si="67"/>
        <v>25833.3933</v>
      </c>
      <c r="AA182" s="318">
        <f t="shared" si="67"/>
        <v>25833.3933</v>
      </c>
      <c r="AB182" s="318">
        <f t="shared" si="67"/>
        <v>25833.3933</v>
      </c>
      <c r="AC182" s="318">
        <f t="shared" si="67"/>
        <v>25833.3933</v>
      </c>
      <c r="AD182" s="318">
        <f t="shared" si="67"/>
        <v>25833.3933</v>
      </c>
      <c r="AE182" s="318">
        <f t="shared" si="67"/>
        <v>25833.3933</v>
      </c>
      <c r="AF182" s="318">
        <f t="shared" si="67"/>
        <v>25833.3933</v>
      </c>
      <c r="AG182" s="318">
        <f t="shared" si="67"/>
        <v>25833.3933</v>
      </c>
    </row>
    <row r="183" spans="1:33" x14ac:dyDescent="0.2">
      <c r="A183" s="30" t="s">
        <v>294</v>
      </c>
      <c r="B183" s="324">
        <f>B159</f>
        <v>956</v>
      </c>
      <c r="C183" s="324">
        <f>B183</f>
        <v>956</v>
      </c>
      <c r="D183" s="324">
        <f t="shared" ref="D183:AG183" si="68">C183</f>
        <v>956</v>
      </c>
      <c r="E183" s="324">
        <f t="shared" si="68"/>
        <v>956</v>
      </c>
      <c r="F183" s="324">
        <f t="shared" si="68"/>
        <v>956</v>
      </c>
      <c r="G183" s="324">
        <f t="shared" si="68"/>
        <v>956</v>
      </c>
      <c r="H183" s="324">
        <f t="shared" si="68"/>
        <v>956</v>
      </c>
      <c r="I183" s="317">
        <f t="shared" si="68"/>
        <v>956</v>
      </c>
      <c r="J183" s="317">
        <f t="shared" si="68"/>
        <v>956</v>
      </c>
      <c r="K183" s="317">
        <f t="shared" si="68"/>
        <v>956</v>
      </c>
      <c r="L183" s="317">
        <f t="shared" si="68"/>
        <v>956</v>
      </c>
      <c r="M183" s="317">
        <f t="shared" si="68"/>
        <v>956</v>
      </c>
      <c r="N183" s="317">
        <f t="shared" si="68"/>
        <v>956</v>
      </c>
      <c r="O183" s="317">
        <f t="shared" si="68"/>
        <v>956</v>
      </c>
      <c r="P183" s="317">
        <f t="shared" si="68"/>
        <v>956</v>
      </c>
      <c r="Q183" s="317">
        <f t="shared" si="68"/>
        <v>956</v>
      </c>
      <c r="R183" s="317">
        <f t="shared" si="68"/>
        <v>956</v>
      </c>
      <c r="S183" s="317">
        <f t="shared" si="68"/>
        <v>956</v>
      </c>
      <c r="T183" s="317">
        <f t="shared" si="68"/>
        <v>956</v>
      </c>
      <c r="U183" s="317">
        <f t="shared" si="68"/>
        <v>956</v>
      </c>
      <c r="V183" s="317">
        <f t="shared" si="68"/>
        <v>956</v>
      </c>
      <c r="W183" s="317">
        <f t="shared" si="68"/>
        <v>956</v>
      </c>
      <c r="X183" s="317">
        <f t="shared" si="68"/>
        <v>956</v>
      </c>
      <c r="Y183" s="317">
        <f t="shared" si="68"/>
        <v>956</v>
      </c>
      <c r="Z183" s="317">
        <f t="shared" si="68"/>
        <v>956</v>
      </c>
      <c r="AA183" s="317">
        <f t="shared" si="68"/>
        <v>956</v>
      </c>
      <c r="AB183" s="317">
        <f t="shared" si="68"/>
        <v>956</v>
      </c>
      <c r="AC183" s="317">
        <f t="shared" si="68"/>
        <v>956</v>
      </c>
      <c r="AD183" s="317">
        <f t="shared" si="68"/>
        <v>956</v>
      </c>
      <c r="AE183" s="317">
        <f t="shared" si="68"/>
        <v>956</v>
      </c>
      <c r="AF183" s="317">
        <f t="shared" si="68"/>
        <v>956</v>
      </c>
      <c r="AG183" s="317">
        <f t="shared" si="68"/>
        <v>956</v>
      </c>
    </row>
    <row r="184" spans="1:33" x14ac:dyDescent="0.2">
      <c r="A184" s="778" t="s">
        <v>296</v>
      </c>
      <c r="B184" s="779"/>
      <c r="C184" s="779"/>
      <c r="D184" s="779"/>
      <c r="E184" s="779"/>
      <c r="F184" s="779"/>
      <c r="G184" s="779"/>
      <c r="H184" s="779"/>
      <c r="I184" s="779"/>
      <c r="J184" s="779"/>
      <c r="K184" s="779"/>
      <c r="L184" s="779"/>
      <c r="M184" s="779"/>
      <c r="N184" s="779"/>
      <c r="O184" s="779"/>
      <c r="P184" s="779"/>
      <c r="Q184" s="779"/>
      <c r="R184" s="779"/>
      <c r="S184" s="779"/>
      <c r="T184" s="779"/>
      <c r="U184" s="779"/>
      <c r="V184" s="779"/>
      <c r="W184" s="779"/>
      <c r="X184" s="779"/>
      <c r="Y184" s="779"/>
      <c r="Z184" s="779"/>
      <c r="AA184" s="779"/>
      <c r="AB184" s="779"/>
      <c r="AC184" s="779"/>
      <c r="AD184" s="779"/>
      <c r="AE184" s="779"/>
      <c r="AF184" s="779"/>
      <c r="AG184" s="779"/>
    </row>
    <row r="185" spans="1:33" x14ac:dyDescent="0.2">
      <c r="A185" s="789" t="s">
        <v>285</v>
      </c>
      <c r="B185" s="779"/>
      <c r="C185" s="779"/>
      <c r="D185" s="779"/>
      <c r="E185" s="779"/>
      <c r="F185" s="779"/>
      <c r="G185" s="779"/>
      <c r="H185" s="779"/>
      <c r="I185" s="779"/>
      <c r="J185" s="779"/>
      <c r="K185" s="779"/>
      <c r="L185" s="779"/>
      <c r="M185" s="779"/>
      <c r="N185" s="779"/>
      <c r="O185" s="779"/>
      <c r="P185" s="779"/>
      <c r="Q185" s="779"/>
      <c r="R185" s="779"/>
      <c r="S185" s="779"/>
      <c r="T185" s="779"/>
      <c r="U185" s="779"/>
      <c r="V185" s="779"/>
      <c r="W185" s="779"/>
      <c r="X185" s="779"/>
      <c r="Y185" s="779"/>
      <c r="Z185" s="779"/>
      <c r="AA185" s="779"/>
      <c r="AB185" s="779"/>
      <c r="AC185" s="779"/>
      <c r="AD185" s="779"/>
      <c r="AE185" s="779"/>
      <c r="AF185" s="779"/>
      <c r="AG185" s="779"/>
    </row>
    <row r="186" spans="1:33" x14ac:dyDescent="0.2">
      <c r="A186" s="30" t="s">
        <v>286</v>
      </c>
      <c r="B186" s="324">
        <f>$B$138*(1+$B$117/$B$113)*(1+$B$118/$B$113)*(1+$B$119/$B$113)*0.5</f>
        <v>15791.038417621043</v>
      </c>
      <c r="C186" s="324">
        <f t="shared" ref="C186:H186" si="69">B$186*(1+C$117/C$113)*(1+C$118/C$113)*(1+C$119/C$113)</f>
        <v>15914.085762764566</v>
      </c>
      <c r="D186" s="324">
        <f t="shared" si="69"/>
        <v>16161.975108010845</v>
      </c>
      <c r="E186" s="324">
        <f t="shared" si="69"/>
        <v>16409.864493566947</v>
      </c>
      <c r="F186" s="324">
        <f t="shared" si="69"/>
        <v>16658.784550179502</v>
      </c>
      <c r="G186" s="324">
        <f t="shared" si="69"/>
        <v>16658.784550179502</v>
      </c>
      <c r="H186" s="324">
        <f t="shared" si="69"/>
        <v>16658.784550179502</v>
      </c>
      <c r="I186" s="317">
        <f>H186</f>
        <v>16658.784550179502</v>
      </c>
      <c r="J186" s="317">
        <f t="shared" ref="J186:AG186" si="70">I186</f>
        <v>16658.784550179502</v>
      </c>
      <c r="K186" s="317">
        <f t="shared" si="70"/>
        <v>16658.784550179502</v>
      </c>
      <c r="L186" s="317">
        <f t="shared" si="70"/>
        <v>16658.784550179502</v>
      </c>
      <c r="M186" s="317">
        <f t="shared" si="70"/>
        <v>16658.784550179502</v>
      </c>
      <c r="N186" s="317">
        <f t="shared" si="70"/>
        <v>16658.784550179502</v>
      </c>
      <c r="O186" s="317">
        <f t="shared" si="70"/>
        <v>16658.784550179502</v>
      </c>
      <c r="P186" s="317">
        <f t="shared" si="70"/>
        <v>16658.784550179502</v>
      </c>
      <c r="Q186" s="317">
        <f>P186+35000</f>
        <v>51658.784550179502</v>
      </c>
      <c r="R186" s="317">
        <f t="shared" si="70"/>
        <v>51658.784550179502</v>
      </c>
      <c r="S186" s="317">
        <f t="shared" si="70"/>
        <v>51658.784550179502</v>
      </c>
      <c r="T186" s="317">
        <f t="shared" si="70"/>
        <v>51658.784550179502</v>
      </c>
      <c r="U186" s="317">
        <f>T186+5000</f>
        <v>56658.784550179502</v>
      </c>
      <c r="V186" s="317">
        <f t="shared" si="70"/>
        <v>56658.784550179502</v>
      </c>
      <c r="W186" s="317">
        <f t="shared" si="70"/>
        <v>56658.784550179502</v>
      </c>
      <c r="X186" s="317">
        <f t="shared" si="70"/>
        <v>56658.784550179502</v>
      </c>
      <c r="Y186" s="317">
        <f t="shared" si="70"/>
        <v>56658.784550179502</v>
      </c>
      <c r="Z186" s="317">
        <f t="shared" si="70"/>
        <v>56658.784550179502</v>
      </c>
      <c r="AA186" s="317">
        <f t="shared" si="70"/>
        <v>56658.784550179502</v>
      </c>
      <c r="AB186" s="317">
        <f t="shared" si="70"/>
        <v>56658.784550179502</v>
      </c>
      <c r="AC186" s="317">
        <f t="shared" si="70"/>
        <v>56658.784550179502</v>
      </c>
      <c r="AD186" s="317">
        <f t="shared" si="70"/>
        <v>56658.784550179502</v>
      </c>
      <c r="AE186" s="317">
        <f t="shared" si="70"/>
        <v>56658.784550179502</v>
      </c>
      <c r="AF186" s="317">
        <f t="shared" si="70"/>
        <v>56658.784550179502</v>
      </c>
      <c r="AG186" s="317">
        <f t="shared" si="70"/>
        <v>56658.784550179502</v>
      </c>
    </row>
    <row r="187" spans="1:33" x14ac:dyDescent="0.2">
      <c r="A187" s="30" t="s">
        <v>287</v>
      </c>
      <c r="B187" s="324">
        <f>$B$139*(1+$B$117/$B$113)*(1+$B$118/$B$113)*(1+$B$119/$B$113)</f>
        <v>78024.888382989942</v>
      </c>
      <c r="C187" s="324">
        <f t="shared" ref="C187:H187" si="71">B$187*(1+C$117/C$113)+(1+C$118/C$113)*(1+C$119/C$113)</f>
        <v>78025.896175216258</v>
      </c>
      <c r="D187" s="324">
        <f t="shared" si="71"/>
        <v>78244.722194142814</v>
      </c>
      <c r="E187" s="324">
        <f t="shared" si="71"/>
        <v>78460.821630383274</v>
      </c>
      <c r="F187" s="324">
        <f t="shared" si="71"/>
        <v>78674.255852938484</v>
      </c>
      <c r="G187" s="324">
        <f t="shared" si="71"/>
        <v>78675.255852938484</v>
      </c>
      <c r="H187" s="324">
        <f t="shared" si="71"/>
        <v>78676.255852938484</v>
      </c>
      <c r="I187" s="317">
        <f>H187</f>
        <v>78676.255852938484</v>
      </c>
      <c r="J187" s="317">
        <f t="shared" ref="J187:AG187" si="72">I187</f>
        <v>78676.255852938484</v>
      </c>
      <c r="K187" s="317">
        <f t="shared" si="72"/>
        <v>78676.255852938484</v>
      </c>
      <c r="L187" s="317">
        <f t="shared" si="72"/>
        <v>78676.255852938484</v>
      </c>
      <c r="M187" s="317">
        <f t="shared" si="72"/>
        <v>78676.255852938484</v>
      </c>
      <c r="N187" s="317">
        <f t="shared" si="72"/>
        <v>78676.255852938484</v>
      </c>
      <c r="O187" s="317">
        <f t="shared" si="72"/>
        <v>78676.255852938484</v>
      </c>
      <c r="P187" s="317">
        <f t="shared" si="72"/>
        <v>78676.255852938484</v>
      </c>
      <c r="Q187" s="317">
        <f t="shared" si="72"/>
        <v>78676.255852938484</v>
      </c>
      <c r="R187" s="317">
        <f t="shared" si="72"/>
        <v>78676.255852938484</v>
      </c>
      <c r="S187" s="317">
        <f t="shared" si="72"/>
        <v>78676.255852938484</v>
      </c>
      <c r="T187" s="317">
        <f t="shared" si="72"/>
        <v>78676.255852938484</v>
      </c>
      <c r="U187" s="317">
        <f t="shared" si="72"/>
        <v>78676.255852938484</v>
      </c>
      <c r="V187" s="317">
        <f t="shared" si="72"/>
        <v>78676.255852938484</v>
      </c>
      <c r="W187" s="317">
        <f t="shared" si="72"/>
        <v>78676.255852938484</v>
      </c>
      <c r="X187" s="317">
        <f t="shared" si="72"/>
        <v>78676.255852938484</v>
      </c>
      <c r="Y187" s="317">
        <f t="shared" si="72"/>
        <v>78676.255852938484</v>
      </c>
      <c r="Z187" s="317">
        <f t="shared" si="72"/>
        <v>78676.255852938484</v>
      </c>
      <c r="AA187" s="317">
        <f t="shared" si="72"/>
        <v>78676.255852938484</v>
      </c>
      <c r="AB187" s="317">
        <f t="shared" si="72"/>
        <v>78676.255852938484</v>
      </c>
      <c r="AC187" s="317">
        <f t="shared" si="72"/>
        <v>78676.255852938484</v>
      </c>
      <c r="AD187" s="317">
        <f t="shared" si="72"/>
        <v>78676.255852938484</v>
      </c>
      <c r="AE187" s="317">
        <f t="shared" si="72"/>
        <v>78676.255852938484</v>
      </c>
      <c r="AF187" s="317">
        <f t="shared" si="72"/>
        <v>78676.255852938484</v>
      </c>
      <c r="AG187" s="317">
        <f t="shared" si="72"/>
        <v>78676.255852938484</v>
      </c>
    </row>
    <row r="188" spans="1:33" x14ac:dyDescent="0.2">
      <c r="A188" s="30" t="s">
        <v>288</v>
      </c>
      <c r="B188" s="324">
        <f>$B$140*(1+$B$117/$B$113)*(1+$B$118/$B$113)*(1+$B$119/$G$113)</f>
        <v>1927.7398042076607</v>
      </c>
      <c r="C188" s="324">
        <f t="shared" ref="C188:H188" si="73">B$188*(1+C$117/C$113)*(1+C$118/C$113)*(1+C$119/C$113)</f>
        <v>1942.7611890439202</v>
      </c>
      <c r="D188" s="324">
        <f t="shared" si="73"/>
        <v>1973.0230467655115</v>
      </c>
      <c r="E188" s="324">
        <f t="shared" si="73"/>
        <v>2003.2849094080489</v>
      </c>
      <c r="F188" s="324">
        <f t="shared" si="73"/>
        <v>2033.6725944042541</v>
      </c>
      <c r="G188" s="324">
        <f t="shared" si="73"/>
        <v>2033.6725944042541</v>
      </c>
      <c r="H188" s="324">
        <f t="shared" si="73"/>
        <v>2033.6725944042541</v>
      </c>
      <c r="I188" s="317">
        <f>H188</f>
        <v>2033.6725944042541</v>
      </c>
      <c r="J188" s="317">
        <f t="shared" ref="J188:AG188" si="74">I188</f>
        <v>2033.6725944042541</v>
      </c>
      <c r="K188" s="317">
        <f t="shared" si="74"/>
        <v>2033.6725944042541</v>
      </c>
      <c r="L188" s="317">
        <f t="shared" si="74"/>
        <v>2033.6725944042541</v>
      </c>
      <c r="M188" s="317">
        <f t="shared" si="74"/>
        <v>2033.6725944042541</v>
      </c>
      <c r="N188" s="317">
        <f t="shared" si="74"/>
        <v>2033.6725944042541</v>
      </c>
      <c r="O188" s="317">
        <f t="shared" si="74"/>
        <v>2033.6725944042541</v>
      </c>
      <c r="P188" s="317">
        <f t="shared" si="74"/>
        <v>2033.6725944042541</v>
      </c>
      <c r="Q188" s="317">
        <f t="shared" si="74"/>
        <v>2033.6725944042541</v>
      </c>
      <c r="R188" s="317">
        <f t="shared" si="74"/>
        <v>2033.6725944042541</v>
      </c>
      <c r="S188" s="317">
        <f t="shared" si="74"/>
        <v>2033.6725944042541</v>
      </c>
      <c r="T188" s="317">
        <f t="shared" si="74"/>
        <v>2033.6725944042541</v>
      </c>
      <c r="U188" s="317">
        <f t="shared" si="74"/>
        <v>2033.6725944042541</v>
      </c>
      <c r="V188" s="317">
        <f t="shared" si="74"/>
        <v>2033.6725944042541</v>
      </c>
      <c r="W188" s="317">
        <f t="shared" si="74"/>
        <v>2033.6725944042541</v>
      </c>
      <c r="X188" s="317">
        <f t="shared" si="74"/>
        <v>2033.6725944042541</v>
      </c>
      <c r="Y188" s="317">
        <f t="shared" si="74"/>
        <v>2033.6725944042541</v>
      </c>
      <c r="Z188" s="317">
        <f t="shared" si="74"/>
        <v>2033.6725944042541</v>
      </c>
      <c r="AA188" s="317">
        <f t="shared" si="74"/>
        <v>2033.6725944042541</v>
      </c>
      <c r="AB188" s="317">
        <f t="shared" si="74"/>
        <v>2033.6725944042541</v>
      </c>
      <c r="AC188" s="317">
        <f t="shared" si="74"/>
        <v>2033.6725944042541</v>
      </c>
      <c r="AD188" s="317">
        <f t="shared" si="74"/>
        <v>2033.6725944042541</v>
      </c>
      <c r="AE188" s="317">
        <f t="shared" si="74"/>
        <v>2033.6725944042541</v>
      </c>
      <c r="AF188" s="317">
        <f t="shared" si="74"/>
        <v>2033.6725944042541</v>
      </c>
      <c r="AG188" s="317">
        <f t="shared" si="74"/>
        <v>2033.6725944042541</v>
      </c>
    </row>
    <row r="189" spans="1:33" x14ac:dyDescent="0.2">
      <c r="A189" s="30" t="s">
        <v>289</v>
      </c>
      <c r="B189" s="324">
        <f>$B$141*(1+$B$117/$B$113)*(1+$B$118/$B$113)*(1+$B$119/$B$113)*0.5</f>
        <v>21920.186815179484</v>
      </c>
      <c r="C189" s="324">
        <f t="shared" ref="C189:H189" si="75">B$189*(1+C$117/C$113)*(1+C$118/C$113)*(1+C$119/C$113)</f>
        <v>22090.993871772298</v>
      </c>
      <c r="D189" s="324">
        <f t="shared" si="75"/>
        <v>22435.099218968935</v>
      </c>
      <c r="E189" s="324">
        <f t="shared" si="75"/>
        <v>22779.204622121291</v>
      </c>
      <c r="F189" s="324">
        <f t="shared" si="75"/>
        <v>23124.740741956422</v>
      </c>
      <c r="G189" s="324">
        <f t="shared" si="75"/>
        <v>23124.740741956422</v>
      </c>
      <c r="H189" s="324">
        <f t="shared" si="75"/>
        <v>23124.740741956422</v>
      </c>
      <c r="I189" s="317">
        <f>H189</f>
        <v>23124.740741956422</v>
      </c>
      <c r="J189" s="317">
        <f t="shared" ref="J189:AG189" si="76">I189</f>
        <v>23124.740741956422</v>
      </c>
      <c r="K189" s="317">
        <f t="shared" si="76"/>
        <v>23124.740741956422</v>
      </c>
      <c r="L189" s="317">
        <f t="shared" si="76"/>
        <v>23124.740741956422</v>
      </c>
      <c r="M189" s="317">
        <f t="shared" si="76"/>
        <v>23124.740741956422</v>
      </c>
      <c r="N189" s="317">
        <f t="shared" si="76"/>
        <v>23124.740741956422</v>
      </c>
      <c r="O189" s="317">
        <f t="shared" si="76"/>
        <v>23124.740741956422</v>
      </c>
      <c r="P189" s="317">
        <f t="shared" si="76"/>
        <v>23124.740741956422</v>
      </c>
      <c r="Q189" s="317">
        <f t="shared" si="76"/>
        <v>23124.740741956422</v>
      </c>
      <c r="R189" s="317">
        <f t="shared" si="76"/>
        <v>23124.740741956422</v>
      </c>
      <c r="S189" s="317">
        <f t="shared" si="76"/>
        <v>23124.740741956422</v>
      </c>
      <c r="T189" s="317">
        <f t="shared" si="76"/>
        <v>23124.740741956422</v>
      </c>
      <c r="U189" s="317">
        <f t="shared" si="76"/>
        <v>23124.740741956422</v>
      </c>
      <c r="V189" s="317">
        <f t="shared" si="76"/>
        <v>23124.740741956422</v>
      </c>
      <c r="W189" s="317">
        <f t="shared" si="76"/>
        <v>23124.740741956422</v>
      </c>
      <c r="X189" s="317">
        <f t="shared" si="76"/>
        <v>23124.740741956422</v>
      </c>
      <c r="Y189" s="317">
        <f t="shared" si="76"/>
        <v>23124.740741956422</v>
      </c>
      <c r="Z189" s="317">
        <f t="shared" si="76"/>
        <v>23124.740741956422</v>
      </c>
      <c r="AA189" s="317">
        <f t="shared" si="76"/>
        <v>23124.740741956422</v>
      </c>
      <c r="AB189" s="317">
        <f t="shared" si="76"/>
        <v>23124.740741956422</v>
      </c>
      <c r="AC189" s="317">
        <f t="shared" si="76"/>
        <v>23124.740741956422</v>
      </c>
      <c r="AD189" s="317">
        <f t="shared" si="76"/>
        <v>23124.740741956422</v>
      </c>
      <c r="AE189" s="317">
        <f t="shared" si="76"/>
        <v>23124.740741956422</v>
      </c>
      <c r="AF189" s="317">
        <f t="shared" si="76"/>
        <v>23124.740741956422</v>
      </c>
      <c r="AG189" s="317">
        <f t="shared" si="76"/>
        <v>23124.740741956422</v>
      </c>
    </row>
    <row r="190" spans="1:33" x14ac:dyDescent="0.2">
      <c r="A190" s="50" t="s">
        <v>290</v>
      </c>
      <c r="B190" s="324">
        <f>$B$142*(1+$B$117/$B$113)*(1+$B$118/$B$113)*(1+$B$119/$B$113)*0.5</f>
        <v>9886.0474768326785</v>
      </c>
      <c r="C190" s="324">
        <f t="shared" ref="C190:H190" si="77">B$190*(1+C$117/C$113)*(1+C$118/C$113)*(1+C$119/C$113)</f>
        <v>9963.0817961608918</v>
      </c>
      <c r="D190" s="324">
        <f t="shared" si="77"/>
        <v>10118.273986268608</v>
      </c>
      <c r="E190" s="324">
        <f t="shared" si="77"/>
        <v>10273.466201612464</v>
      </c>
      <c r="F190" s="324">
        <f t="shared" si="77"/>
        <v>10429.303673001397</v>
      </c>
      <c r="G190" s="324">
        <f t="shared" si="77"/>
        <v>10429.303673001397</v>
      </c>
      <c r="H190" s="324">
        <f t="shared" si="77"/>
        <v>10429.303673001397</v>
      </c>
      <c r="I190" s="317">
        <f>H190</f>
        <v>10429.303673001397</v>
      </c>
      <c r="J190" s="317">
        <f t="shared" ref="J190:AG190" si="78">I190</f>
        <v>10429.303673001397</v>
      </c>
      <c r="K190" s="317">
        <f t="shared" si="78"/>
        <v>10429.303673001397</v>
      </c>
      <c r="L190" s="317">
        <f t="shared" si="78"/>
        <v>10429.303673001397</v>
      </c>
      <c r="M190" s="317">
        <f t="shared" si="78"/>
        <v>10429.303673001397</v>
      </c>
      <c r="N190" s="317">
        <f t="shared" si="78"/>
        <v>10429.303673001397</v>
      </c>
      <c r="O190" s="317">
        <f t="shared" si="78"/>
        <v>10429.303673001397</v>
      </c>
      <c r="P190" s="317">
        <f t="shared" si="78"/>
        <v>10429.303673001397</v>
      </c>
      <c r="Q190" s="317">
        <f t="shared" si="78"/>
        <v>10429.303673001397</v>
      </c>
      <c r="R190" s="317">
        <f t="shared" si="78"/>
        <v>10429.303673001397</v>
      </c>
      <c r="S190" s="317">
        <f t="shared" si="78"/>
        <v>10429.303673001397</v>
      </c>
      <c r="T190" s="317">
        <f t="shared" si="78"/>
        <v>10429.303673001397</v>
      </c>
      <c r="U190" s="317">
        <f t="shared" si="78"/>
        <v>10429.303673001397</v>
      </c>
      <c r="V190" s="317">
        <f t="shared" si="78"/>
        <v>10429.303673001397</v>
      </c>
      <c r="W190" s="317">
        <f t="shared" si="78"/>
        <v>10429.303673001397</v>
      </c>
      <c r="X190" s="317">
        <f t="shared" si="78"/>
        <v>10429.303673001397</v>
      </c>
      <c r="Y190" s="317">
        <f t="shared" si="78"/>
        <v>10429.303673001397</v>
      </c>
      <c r="Z190" s="317">
        <f t="shared" si="78"/>
        <v>10429.303673001397</v>
      </c>
      <c r="AA190" s="317">
        <f t="shared" si="78"/>
        <v>10429.303673001397</v>
      </c>
      <c r="AB190" s="317">
        <f>AA190+20000</f>
        <v>30429.303673001399</v>
      </c>
      <c r="AC190" s="317">
        <f>AB190+40000</f>
        <v>70429.303673001399</v>
      </c>
      <c r="AD190" s="317">
        <f t="shared" si="78"/>
        <v>70429.303673001399</v>
      </c>
      <c r="AE190" s="317">
        <f t="shared" si="78"/>
        <v>70429.303673001399</v>
      </c>
      <c r="AF190" s="317">
        <f t="shared" si="78"/>
        <v>70429.303673001399</v>
      </c>
      <c r="AG190" s="317">
        <f t="shared" si="78"/>
        <v>70429.303673001399</v>
      </c>
    </row>
    <row r="191" spans="1:33" x14ac:dyDescent="0.2">
      <c r="A191" s="789" t="s">
        <v>291</v>
      </c>
      <c r="B191" s="779"/>
      <c r="C191" s="779"/>
      <c r="D191" s="779"/>
      <c r="E191" s="779"/>
      <c r="F191" s="779"/>
      <c r="G191" s="779"/>
      <c r="H191" s="779"/>
      <c r="I191" s="779"/>
      <c r="J191" s="779"/>
      <c r="K191" s="779"/>
      <c r="L191" s="779"/>
      <c r="M191" s="779"/>
      <c r="N191" s="779"/>
      <c r="O191" s="779"/>
      <c r="P191" s="779"/>
      <c r="Q191" s="779"/>
      <c r="R191" s="779"/>
      <c r="S191" s="779"/>
      <c r="T191" s="779"/>
      <c r="U191" s="779"/>
      <c r="V191" s="779"/>
      <c r="W191" s="779"/>
      <c r="X191" s="779"/>
      <c r="Y191" s="779"/>
      <c r="Z191" s="779"/>
      <c r="AA191" s="779"/>
      <c r="AB191" s="779"/>
      <c r="AC191" s="779"/>
      <c r="AD191" s="779"/>
      <c r="AE191" s="779"/>
      <c r="AF191" s="779"/>
      <c r="AG191" s="779"/>
    </row>
    <row r="192" spans="1:33" x14ac:dyDescent="0.2">
      <c r="A192" s="50" t="s">
        <v>292</v>
      </c>
      <c r="B192" s="324">
        <f>B168</f>
        <v>178227</v>
      </c>
      <c r="C192" s="324">
        <f>B192</f>
        <v>178227</v>
      </c>
      <c r="D192" s="324">
        <f t="shared" ref="D192:AG192" si="79">C192</f>
        <v>178227</v>
      </c>
      <c r="E192" s="324">
        <f t="shared" si="79"/>
        <v>178227</v>
      </c>
      <c r="F192" s="324">
        <f t="shared" si="79"/>
        <v>178227</v>
      </c>
      <c r="G192" s="324">
        <f t="shared" si="79"/>
        <v>178227</v>
      </c>
      <c r="H192" s="324">
        <f t="shared" si="79"/>
        <v>178227</v>
      </c>
      <c r="I192" s="317">
        <f t="shared" si="79"/>
        <v>178227</v>
      </c>
      <c r="J192" s="317">
        <f t="shared" si="79"/>
        <v>178227</v>
      </c>
      <c r="K192" s="317">
        <f t="shared" si="79"/>
        <v>178227</v>
      </c>
      <c r="L192" s="317">
        <f t="shared" si="79"/>
        <v>178227</v>
      </c>
      <c r="M192" s="317">
        <f t="shared" si="79"/>
        <v>178227</v>
      </c>
      <c r="N192" s="317">
        <f t="shared" si="79"/>
        <v>178227</v>
      </c>
      <c r="O192" s="317">
        <f t="shared" si="79"/>
        <v>178227</v>
      </c>
      <c r="P192" s="317">
        <f t="shared" si="79"/>
        <v>178227</v>
      </c>
      <c r="Q192" s="317">
        <f t="shared" si="79"/>
        <v>178227</v>
      </c>
      <c r="R192" s="317">
        <f t="shared" si="79"/>
        <v>178227</v>
      </c>
      <c r="S192" s="317">
        <f t="shared" si="79"/>
        <v>178227</v>
      </c>
      <c r="T192" s="317">
        <f t="shared" si="79"/>
        <v>178227</v>
      </c>
      <c r="U192" s="317">
        <f t="shared" si="79"/>
        <v>178227</v>
      </c>
      <c r="V192" s="317">
        <f t="shared" si="79"/>
        <v>178227</v>
      </c>
      <c r="W192" s="317">
        <f t="shared" si="79"/>
        <v>178227</v>
      </c>
      <c r="X192" s="317">
        <f t="shared" si="79"/>
        <v>178227</v>
      </c>
      <c r="Y192" s="317">
        <f t="shared" si="79"/>
        <v>178227</v>
      </c>
      <c r="Z192" s="317">
        <f t="shared" si="79"/>
        <v>178227</v>
      </c>
      <c r="AA192" s="317">
        <f t="shared" si="79"/>
        <v>178227</v>
      </c>
      <c r="AB192" s="317">
        <f t="shared" si="79"/>
        <v>178227</v>
      </c>
      <c r="AC192" s="317">
        <f t="shared" si="79"/>
        <v>178227</v>
      </c>
      <c r="AD192" s="317">
        <f t="shared" si="79"/>
        <v>178227</v>
      </c>
      <c r="AE192" s="317">
        <f t="shared" si="79"/>
        <v>178227</v>
      </c>
      <c r="AF192" s="317">
        <f t="shared" si="79"/>
        <v>178227</v>
      </c>
      <c r="AG192" s="317">
        <f t="shared" si="79"/>
        <v>178227</v>
      </c>
    </row>
    <row r="193" spans="1:33" x14ac:dyDescent="0.2">
      <c r="A193" s="50" t="s">
        <v>293</v>
      </c>
      <c r="B193" s="325">
        <f>B192*0.2409</f>
        <v>42934.884299999998</v>
      </c>
      <c r="C193" s="325">
        <f t="shared" ref="C193:H193" si="80">C192*0.2409</f>
        <v>42934.884299999998</v>
      </c>
      <c r="D193" s="325">
        <f t="shared" si="80"/>
        <v>42934.884299999998</v>
      </c>
      <c r="E193" s="325">
        <f t="shared" si="80"/>
        <v>42934.884299999998</v>
      </c>
      <c r="F193" s="325">
        <f t="shared" si="80"/>
        <v>42934.884299999998</v>
      </c>
      <c r="G193" s="325">
        <f t="shared" si="80"/>
        <v>42934.884299999998</v>
      </c>
      <c r="H193" s="325">
        <f t="shared" si="80"/>
        <v>42934.884299999998</v>
      </c>
      <c r="I193" s="318">
        <f>I192*0.2409</f>
        <v>42934.884299999998</v>
      </c>
      <c r="J193" s="318">
        <f t="shared" ref="J193:AG193" si="81">J192*0.2409</f>
        <v>42934.884299999998</v>
      </c>
      <c r="K193" s="318">
        <f t="shared" si="81"/>
        <v>42934.884299999998</v>
      </c>
      <c r="L193" s="318">
        <f t="shared" si="81"/>
        <v>42934.884299999998</v>
      </c>
      <c r="M193" s="318">
        <f t="shared" si="81"/>
        <v>42934.884299999998</v>
      </c>
      <c r="N193" s="318">
        <f t="shared" si="81"/>
        <v>42934.884299999998</v>
      </c>
      <c r="O193" s="318">
        <f t="shared" si="81"/>
        <v>42934.884299999998</v>
      </c>
      <c r="P193" s="318">
        <f t="shared" si="81"/>
        <v>42934.884299999998</v>
      </c>
      <c r="Q193" s="318">
        <f t="shared" si="81"/>
        <v>42934.884299999998</v>
      </c>
      <c r="R193" s="318">
        <f t="shared" si="81"/>
        <v>42934.884299999998</v>
      </c>
      <c r="S193" s="318">
        <f t="shared" si="81"/>
        <v>42934.884299999998</v>
      </c>
      <c r="T193" s="318">
        <f t="shared" si="81"/>
        <v>42934.884299999998</v>
      </c>
      <c r="U193" s="318">
        <f t="shared" si="81"/>
        <v>42934.884299999998</v>
      </c>
      <c r="V193" s="318">
        <f t="shared" si="81"/>
        <v>42934.884299999998</v>
      </c>
      <c r="W193" s="318">
        <f t="shared" si="81"/>
        <v>42934.884299999998</v>
      </c>
      <c r="X193" s="318">
        <f t="shared" si="81"/>
        <v>42934.884299999998</v>
      </c>
      <c r="Y193" s="318">
        <f t="shared" si="81"/>
        <v>42934.884299999998</v>
      </c>
      <c r="Z193" s="318">
        <f t="shared" si="81"/>
        <v>42934.884299999998</v>
      </c>
      <c r="AA193" s="318">
        <f t="shared" si="81"/>
        <v>42934.884299999998</v>
      </c>
      <c r="AB193" s="318">
        <f t="shared" si="81"/>
        <v>42934.884299999998</v>
      </c>
      <c r="AC193" s="318">
        <f t="shared" si="81"/>
        <v>42934.884299999998</v>
      </c>
      <c r="AD193" s="318">
        <f t="shared" si="81"/>
        <v>42934.884299999998</v>
      </c>
      <c r="AE193" s="318">
        <f t="shared" si="81"/>
        <v>42934.884299999998</v>
      </c>
      <c r="AF193" s="318">
        <f t="shared" si="81"/>
        <v>42934.884299999998</v>
      </c>
      <c r="AG193" s="318">
        <f t="shared" si="81"/>
        <v>42934.884299999998</v>
      </c>
    </row>
    <row r="194" spans="1:33" x14ac:dyDescent="0.2">
      <c r="A194" s="50" t="s">
        <v>294</v>
      </c>
      <c r="B194" s="324">
        <f>B170</f>
        <v>1030</v>
      </c>
      <c r="C194" s="324">
        <f>B194</f>
        <v>1030</v>
      </c>
      <c r="D194" s="324">
        <f t="shared" ref="D194:AG194" si="82">C194</f>
        <v>1030</v>
      </c>
      <c r="E194" s="324">
        <f t="shared" si="82"/>
        <v>1030</v>
      </c>
      <c r="F194" s="324">
        <f t="shared" si="82"/>
        <v>1030</v>
      </c>
      <c r="G194" s="324">
        <f t="shared" si="82"/>
        <v>1030</v>
      </c>
      <c r="H194" s="324">
        <f t="shared" si="82"/>
        <v>1030</v>
      </c>
      <c r="I194" s="317">
        <f t="shared" si="82"/>
        <v>1030</v>
      </c>
      <c r="J194" s="317">
        <f t="shared" si="82"/>
        <v>1030</v>
      </c>
      <c r="K194" s="317">
        <f t="shared" si="82"/>
        <v>1030</v>
      </c>
      <c r="L194" s="317">
        <f t="shared" si="82"/>
        <v>1030</v>
      </c>
      <c r="M194" s="317">
        <f t="shared" si="82"/>
        <v>1030</v>
      </c>
      <c r="N194" s="317">
        <f t="shared" si="82"/>
        <v>1030</v>
      </c>
      <c r="O194" s="317">
        <f t="shared" si="82"/>
        <v>1030</v>
      </c>
      <c r="P194" s="317">
        <f t="shared" si="82"/>
        <v>1030</v>
      </c>
      <c r="Q194" s="317">
        <f t="shared" si="82"/>
        <v>1030</v>
      </c>
      <c r="R194" s="317">
        <f t="shared" si="82"/>
        <v>1030</v>
      </c>
      <c r="S194" s="317">
        <f t="shared" si="82"/>
        <v>1030</v>
      </c>
      <c r="T194" s="317">
        <f t="shared" si="82"/>
        <v>1030</v>
      </c>
      <c r="U194" s="317">
        <f t="shared" si="82"/>
        <v>1030</v>
      </c>
      <c r="V194" s="317">
        <f t="shared" si="82"/>
        <v>1030</v>
      </c>
      <c r="W194" s="317">
        <f t="shared" si="82"/>
        <v>1030</v>
      </c>
      <c r="X194" s="317">
        <f t="shared" si="82"/>
        <v>1030</v>
      </c>
      <c r="Y194" s="317">
        <f t="shared" si="82"/>
        <v>1030</v>
      </c>
      <c r="Z194" s="317">
        <f t="shared" si="82"/>
        <v>1030</v>
      </c>
      <c r="AA194" s="317">
        <f t="shared" si="82"/>
        <v>1030</v>
      </c>
      <c r="AB194" s="317">
        <f t="shared" si="82"/>
        <v>1030</v>
      </c>
      <c r="AC194" s="317">
        <f t="shared" si="82"/>
        <v>1030</v>
      </c>
      <c r="AD194" s="317">
        <f t="shared" si="82"/>
        <v>1030</v>
      </c>
      <c r="AE194" s="317">
        <f t="shared" si="82"/>
        <v>1030</v>
      </c>
      <c r="AF194" s="317">
        <f t="shared" si="82"/>
        <v>1030</v>
      </c>
      <c r="AG194" s="317">
        <f t="shared" si="82"/>
        <v>1030</v>
      </c>
    </row>
    <row r="195" spans="1:33" ht="14.25" x14ac:dyDescent="0.2">
      <c r="A195" s="65"/>
      <c r="B195" s="66"/>
      <c r="C195" s="67"/>
      <c r="D195" s="68"/>
      <c r="E195" s="68"/>
      <c r="F195" s="68"/>
      <c r="W195" s="29"/>
      <c r="X195" s="29"/>
      <c r="Y195" s="29"/>
      <c r="Z195" s="29"/>
      <c r="AA195" s="29"/>
      <c r="AB195" s="29"/>
      <c r="AC195" s="29"/>
      <c r="AD195" s="29"/>
      <c r="AE195" s="29"/>
      <c r="AF195" s="29"/>
    </row>
    <row r="196" spans="1:33" ht="14.25" x14ac:dyDescent="0.2">
      <c r="A196" s="586" t="s">
        <v>297</v>
      </c>
      <c r="B196" s="586"/>
      <c r="C196" s="586"/>
      <c r="D196" s="29"/>
      <c r="E196" s="29"/>
      <c r="F196" s="29"/>
      <c r="G196" s="29"/>
      <c r="H196" s="29"/>
      <c r="I196" s="29"/>
      <c r="Q196" s="29"/>
      <c r="R196" s="29"/>
      <c r="S196" s="29"/>
      <c r="T196" s="29"/>
      <c r="U196" s="29"/>
      <c r="V196" s="29"/>
      <c r="W196" s="29"/>
      <c r="X196" s="29"/>
      <c r="Y196" s="29"/>
      <c r="Z196" s="29"/>
    </row>
    <row r="197" spans="1:33" ht="26.25" customHeight="1" x14ac:dyDescent="0.2">
      <c r="A197" s="69" t="s">
        <v>298</v>
      </c>
      <c r="B197" s="70">
        <f>B124</f>
        <v>2017</v>
      </c>
      <c r="C197" s="70">
        <f>B197+1</f>
        <v>2018</v>
      </c>
      <c r="D197" s="587"/>
      <c r="E197" s="650"/>
      <c r="F197" s="650"/>
      <c r="G197" s="650"/>
      <c r="H197" s="650"/>
      <c r="W197" s="29"/>
      <c r="X197" s="29"/>
      <c r="Y197" s="29"/>
      <c r="Z197" s="29"/>
      <c r="AA197" s="29"/>
      <c r="AB197" s="29"/>
      <c r="AC197" s="29"/>
      <c r="AD197" s="29"/>
      <c r="AE197" s="29"/>
      <c r="AF197" s="29"/>
    </row>
    <row r="198" spans="1:33" x14ac:dyDescent="0.2">
      <c r="A198" s="71" t="s">
        <v>299</v>
      </c>
      <c r="B198" s="713">
        <v>0.97</v>
      </c>
      <c r="C198" s="713">
        <v>0.97</v>
      </c>
      <c r="D198" s="32"/>
      <c r="E198" s="32"/>
      <c r="F198" s="32"/>
      <c r="W198" s="29"/>
      <c r="X198" s="29"/>
      <c r="Y198" s="29"/>
      <c r="Z198" s="29"/>
      <c r="AA198" s="29"/>
      <c r="AB198" s="29"/>
      <c r="AC198" s="29"/>
      <c r="AD198" s="29"/>
      <c r="AE198" s="29"/>
      <c r="AF198" s="29"/>
    </row>
    <row r="199" spans="1:33" x14ac:dyDescent="0.2">
      <c r="A199" s="72" t="s">
        <v>295</v>
      </c>
      <c r="B199" s="713">
        <v>1.5</v>
      </c>
      <c r="C199" s="713">
        <v>1.5</v>
      </c>
      <c r="D199" s="32"/>
      <c r="E199" s="32"/>
      <c r="F199" s="32"/>
      <c r="W199" s="29"/>
      <c r="X199" s="29"/>
      <c r="Y199" s="29"/>
      <c r="Z199" s="29"/>
      <c r="AA199" s="29"/>
      <c r="AB199" s="29"/>
      <c r="AC199" s="29"/>
      <c r="AD199" s="29"/>
      <c r="AE199" s="29"/>
      <c r="AF199" s="29"/>
    </row>
    <row r="200" spans="1:33" x14ac:dyDescent="0.2">
      <c r="A200" s="73" t="s">
        <v>300</v>
      </c>
      <c r="B200" s="74"/>
      <c r="C200" s="74"/>
      <c r="D200" s="32"/>
      <c r="E200" s="32"/>
      <c r="F200" s="32"/>
      <c r="I200" s="31"/>
      <c r="W200" s="29"/>
      <c r="X200" s="29"/>
      <c r="Y200" s="29"/>
      <c r="Z200" s="29"/>
      <c r="AA200" s="29"/>
      <c r="AB200" s="29"/>
      <c r="AC200" s="29"/>
      <c r="AD200" s="29"/>
      <c r="AE200" s="29"/>
      <c r="AF200" s="29"/>
    </row>
    <row r="201" spans="1:33" x14ac:dyDescent="0.2">
      <c r="A201" s="71" t="s">
        <v>299</v>
      </c>
      <c r="B201" s="713">
        <v>0.97</v>
      </c>
      <c r="C201" s="713">
        <v>0.97</v>
      </c>
      <c r="D201" s="32"/>
      <c r="E201" s="32"/>
      <c r="F201" s="32"/>
      <c r="W201" s="29"/>
      <c r="X201" s="29"/>
      <c r="Y201" s="29"/>
      <c r="Z201" s="29"/>
      <c r="AA201" s="29"/>
      <c r="AB201" s="29"/>
      <c r="AC201" s="29"/>
      <c r="AD201" s="29"/>
      <c r="AE201" s="29"/>
      <c r="AF201" s="29"/>
    </row>
    <row r="202" spans="1:33" x14ac:dyDescent="0.2">
      <c r="A202" s="75" t="s">
        <v>295</v>
      </c>
      <c r="B202" s="713">
        <v>1.5</v>
      </c>
      <c r="C202" s="713">
        <v>1.5</v>
      </c>
      <c r="D202" s="32"/>
      <c r="E202" s="32"/>
      <c r="F202" s="32"/>
      <c r="W202" s="29"/>
      <c r="X202" s="29"/>
      <c r="Y202" s="29"/>
      <c r="Z202" s="29"/>
      <c r="AA202" s="29"/>
      <c r="AB202" s="29"/>
      <c r="AC202" s="29"/>
      <c r="AD202" s="29"/>
      <c r="AE202" s="29"/>
      <c r="AF202" s="29"/>
    </row>
    <row r="203" spans="1:33" x14ac:dyDescent="0.2">
      <c r="A203" s="53" t="s">
        <v>301</v>
      </c>
      <c r="B203" s="732">
        <v>1.4E-2</v>
      </c>
      <c r="C203" s="732">
        <v>1.4E-2</v>
      </c>
      <c r="E203" s="32"/>
      <c r="F203" s="32"/>
      <c r="J203" s="76" t="s">
        <v>302</v>
      </c>
      <c r="W203" s="29"/>
      <c r="X203" s="29"/>
      <c r="Y203" s="29"/>
      <c r="Z203" s="29"/>
      <c r="AA203" s="29"/>
      <c r="AB203" s="29"/>
      <c r="AC203" s="29"/>
      <c r="AD203" s="29"/>
      <c r="AE203" s="29"/>
      <c r="AF203" s="29"/>
    </row>
    <row r="204" spans="1:33" x14ac:dyDescent="0.2">
      <c r="A204" s="75" t="s">
        <v>303</v>
      </c>
      <c r="B204" s="724">
        <v>0.06</v>
      </c>
      <c r="C204" s="724">
        <v>0.06</v>
      </c>
      <c r="D204" s="32"/>
      <c r="E204" s="32"/>
      <c r="F204" s="32"/>
      <c r="J204" s="77">
        <f>Līdzfinansējums!F35</f>
        <v>0.62424416999999999</v>
      </c>
      <c r="W204" s="29"/>
      <c r="X204" s="29"/>
      <c r="Y204" s="29"/>
      <c r="Z204" s="29"/>
      <c r="AA204" s="29"/>
      <c r="AB204" s="29"/>
      <c r="AC204" s="29"/>
      <c r="AD204" s="29"/>
      <c r="AE204" s="29"/>
      <c r="AF204" s="29"/>
    </row>
    <row r="205" spans="1:33" ht="15" customHeight="1" x14ac:dyDescent="0.2">
      <c r="A205" s="40" t="s">
        <v>304</v>
      </c>
      <c r="B205" s="714">
        <v>2.5</v>
      </c>
      <c r="C205" s="714">
        <v>2.5</v>
      </c>
      <c r="D205" s="587"/>
      <c r="E205" s="588"/>
      <c r="F205" s="588"/>
      <c r="W205" s="29"/>
      <c r="X205" s="29"/>
      <c r="Y205" s="29"/>
      <c r="Z205" s="29"/>
      <c r="AA205" s="29"/>
      <c r="AB205" s="29"/>
      <c r="AC205" s="29"/>
      <c r="AD205" s="29"/>
      <c r="AE205" s="29"/>
      <c r="AF205" s="29"/>
    </row>
    <row r="206" spans="1:33" ht="15.75" customHeight="1" x14ac:dyDescent="0.2">
      <c r="A206" s="40" t="s">
        <v>305</v>
      </c>
      <c r="B206" s="714">
        <v>386.07</v>
      </c>
      <c r="C206" s="714">
        <v>386.07</v>
      </c>
      <c r="D206" s="679" t="s">
        <v>110</v>
      </c>
      <c r="E206" s="588"/>
      <c r="F206" s="588"/>
      <c r="W206" s="29"/>
      <c r="X206" s="29"/>
      <c r="Y206" s="29"/>
      <c r="Z206" s="29"/>
      <c r="AA206" s="29"/>
      <c r="AB206" s="29"/>
      <c r="AC206" s="29"/>
      <c r="AD206" s="29"/>
      <c r="AE206" s="29"/>
      <c r="AF206" s="29"/>
    </row>
    <row r="207" spans="1:33" x14ac:dyDescent="0.2">
      <c r="A207" s="103"/>
      <c r="D207" s="32"/>
      <c r="E207" s="32"/>
      <c r="F207" s="78"/>
      <c r="I207" s="31"/>
      <c r="W207" s="29"/>
      <c r="X207" s="29"/>
      <c r="Y207" s="29"/>
      <c r="Z207" s="29"/>
      <c r="AA207" s="29"/>
      <c r="AB207" s="29"/>
      <c r="AC207" s="29"/>
      <c r="AD207" s="29"/>
      <c r="AE207" s="29"/>
      <c r="AF207" s="29"/>
    </row>
    <row r="208" spans="1:33" x14ac:dyDescent="0.2">
      <c r="A208" s="721"/>
      <c r="B208" s="722">
        <v>2018</v>
      </c>
      <c r="C208" s="722">
        <f>B208+1</f>
        <v>2019</v>
      </c>
      <c r="D208" s="722">
        <f>C208+1</f>
        <v>2020</v>
      </c>
      <c r="E208" s="722">
        <f>D208+1</f>
        <v>2021</v>
      </c>
      <c r="F208" s="722">
        <f>E208+1</f>
        <v>2022</v>
      </c>
      <c r="G208" s="722">
        <f>F208+1</f>
        <v>2023</v>
      </c>
      <c r="H208" s="722">
        <f t="shared" ref="H208:O208" si="83">G208+1</f>
        <v>2024</v>
      </c>
      <c r="I208" s="722">
        <f t="shared" si="83"/>
        <v>2025</v>
      </c>
      <c r="J208" s="722">
        <f t="shared" si="83"/>
        <v>2026</v>
      </c>
      <c r="K208" s="722">
        <f t="shared" si="83"/>
        <v>2027</v>
      </c>
      <c r="L208" s="722">
        <f t="shared" si="83"/>
        <v>2028</v>
      </c>
      <c r="M208" s="722">
        <f t="shared" si="83"/>
        <v>2029</v>
      </c>
      <c r="N208" s="722">
        <f t="shared" si="83"/>
        <v>2030</v>
      </c>
      <c r="O208" s="722">
        <f t="shared" si="83"/>
        <v>2031</v>
      </c>
      <c r="P208" s="722">
        <f t="shared" ref="P208:Y208" si="84">O208+1</f>
        <v>2032</v>
      </c>
      <c r="Q208" s="722">
        <f t="shared" si="84"/>
        <v>2033</v>
      </c>
      <c r="R208" s="722">
        <f t="shared" si="84"/>
        <v>2034</v>
      </c>
      <c r="S208" s="722">
        <f t="shared" si="84"/>
        <v>2035</v>
      </c>
      <c r="T208" s="722">
        <f t="shared" si="84"/>
        <v>2036</v>
      </c>
      <c r="U208" s="722">
        <f t="shared" si="84"/>
        <v>2037</v>
      </c>
      <c r="V208" s="722">
        <f t="shared" si="84"/>
        <v>2038</v>
      </c>
      <c r="W208" s="722">
        <f t="shared" si="84"/>
        <v>2039</v>
      </c>
      <c r="X208" s="722">
        <f t="shared" si="84"/>
        <v>2040</v>
      </c>
      <c r="Y208" s="722">
        <f t="shared" si="84"/>
        <v>2041</v>
      </c>
      <c r="Z208" s="722">
        <f t="shared" ref="Z208:AF208" si="85">Y208+1</f>
        <v>2042</v>
      </c>
      <c r="AA208" s="722">
        <f t="shared" si="85"/>
        <v>2043</v>
      </c>
      <c r="AB208" s="722">
        <f t="shared" si="85"/>
        <v>2044</v>
      </c>
      <c r="AC208" s="722">
        <f t="shared" si="85"/>
        <v>2045</v>
      </c>
      <c r="AD208" s="722">
        <f t="shared" si="85"/>
        <v>2046</v>
      </c>
      <c r="AE208" s="722">
        <f t="shared" si="85"/>
        <v>2047</v>
      </c>
      <c r="AF208" s="722">
        <f t="shared" si="85"/>
        <v>2048</v>
      </c>
      <c r="AG208" s="722">
        <f>AF208+1</f>
        <v>2049</v>
      </c>
    </row>
    <row r="209" spans="1:37" x14ac:dyDescent="0.2">
      <c r="A209" s="719" t="s">
        <v>306</v>
      </c>
      <c r="B209" s="748">
        <v>1.4E-2</v>
      </c>
      <c r="C209" s="748">
        <v>1.4999999999999999E-2</v>
      </c>
      <c r="D209" s="748">
        <v>1.6E-2</v>
      </c>
      <c r="E209" s="748">
        <v>1.6E-2</v>
      </c>
      <c r="F209" s="748">
        <v>1.6E-2</v>
      </c>
      <c r="G209" s="748">
        <v>1.6E-2</v>
      </c>
      <c r="H209" s="748">
        <v>1.6E-2</v>
      </c>
      <c r="I209" s="748">
        <v>1.4999999999999999E-2</v>
      </c>
      <c r="J209" s="748">
        <v>1.4999999999999999E-2</v>
      </c>
      <c r="K209" s="748">
        <v>1.4999999999999999E-2</v>
      </c>
      <c r="L209" s="748">
        <v>1.4999999999999999E-2</v>
      </c>
      <c r="M209" s="748">
        <v>1.4999999999999999E-2</v>
      </c>
      <c r="N209" s="748">
        <v>1.4999999999999999E-2</v>
      </c>
      <c r="O209" s="748">
        <v>1.4999999999999999E-2</v>
      </c>
      <c r="P209" s="748">
        <v>1.4999999999999999E-2</v>
      </c>
      <c r="Q209" s="748">
        <v>1.4999999999999999E-2</v>
      </c>
      <c r="R209" s="748">
        <v>1.4999999999999999E-2</v>
      </c>
      <c r="S209" s="748">
        <v>1.4999999999999999E-2</v>
      </c>
      <c r="T209" s="748">
        <v>1.4999999999999999E-2</v>
      </c>
      <c r="U209" s="748">
        <v>1.4999999999999999E-2</v>
      </c>
      <c r="V209" s="748">
        <v>1.4999999999999999E-2</v>
      </c>
      <c r="W209" s="748">
        <v>1.4999999999999999E-2</v>
      </c>
      <c r="X209" s="748">
        <v>1.4999999999999999E-2</v>
      </c>
      <c r="Y209" s="748">
        <v>1.4999999999999999E-2</v>
      </c>
      <c r="Z209" s="748">
        <v>1.4999999999999999E-2</v>
      </c>
      <c r="AA209" s="748">
        <v>1.4999999999999999E-2</v>
      </c>
      <c r="AB209" s="748">
        <v>1.4999999999999999E-2</v>
      </c>
      <c r="AC209" s="748">
        <v>1.4999999999999999E-2</v>
      </c>
      <c r="AD209" s="748">
        <v>1.4999999999999999E-2</v>
      </c>
      <c r="AE209" s="748">
        <v>1.4999999999999999E-2</v>
      </c>
      <c r="AF209" s="748">
        <v>1.4999999999999999E-2</v>
      </c>
      <c r="AG209" s="748">
        <v>1.4999999999999999E-2</v>
      </c>
    </row>
    <row r="210" spans="1:37" ht="25.5" x14ac:dyDescent="0.2">
      <c r="A210" s="719" t="s">
        <v>307</v>
      </c>
      <c r="B210" s="720">
        <v>1</v>
      </c>
      <c r="C210" s="720">
        <v>1</v>
      </c>
      <c r="D210" s="720">
        <v>1</v>
      </c>
      <c r="E210" s="720">
        <v>1</v>
      </c>
      <c r="F210" s="720">
        <v>1</v>
      </c>
      <c r="G210" s="720">
        <v>1</v>
      </c>
      <c r="H210" s="720">
        <v>1</v>
      </c>
      <c r="I210" s="720">
        <v>1</v>
      </c>
      <c r="J210" s="720">
        <v>1</v>
      </c>
      <c r="K210" s="720">
        <v>1</v>
      </c>
      <c r="L210" s="720">
        <v>1</v>
      </c>
      <c r="M210" s="720">
        <v>1</v>
      </c>
      <c r="N210" s="720">
        <v>1</v>
      </c>
      <c r="O210" s="720">
        <v>1</v>
      </c>
      <c r="P210" s="720">
        <v>1</v>
      </c>
      <c r="Q210" s="720">
        <v>1</v>
      </c>
      <c r="R210" s="720">
        <v>1</v>
      </c>
      <c r="S210" s="720">
        <v>1</v>
      </c>
      <c r="T210" s="720">
        <v>1</v>
      </c>
      <c r="U210" s="720">
        <v>1</v>
      </c>
      <c r="V210" s="720">
        <v>1</v>
      </c>
      <c r="W210" s="720">
        <v>1</v>
      </c>
      <c r="X210" s="720">
        <v>1</v>
      </c>
      <c r="Y210" s="720">
        <v>1</v>
      </c>
      <c r="Z210" s="720">
        <v>1</v>
      </c>
      <c r="AA210" s="720">
        <v>1</v>
      </c>
      <c r="AB210" s="720">
        <v>1</v>
      </c>
      <c r="AC210" s="720">
        <v>1</v>
      </c>
      <c r="AD210" s="720">
        <v>1</v>
      </c>
      <c r="AE210" s="720">
        <v>1</v>
      </c>
      <c r="AF210" s="720">
        <v>1</v>
      </c>
      <c r="AG210" s="720">
        <v>1</v>
      </c>
    </row>
    <row r="211" spans="1:37" ht="25.5" x14ac:dyDescent="0.2">
      <c r="A211" s="719" t="s">
        <v>308</v>
      </c>
      <c r="B211" s="720">
        <v>0.4</v>
      </c>
      <c r="C211" s="720">
        <v>0.4</v>
      </c>
      <c r="D211" s="720">
        <v>0.4</v>
      </c>
      <c r="E211" s="720">
        <v>0.4</v>
      </c>
      <c r="F211" s="720">
        <v>0.4</v>
      </c>
      <c r="G211" s="720">
        <v>0.4</v>
      </c>
      <c r="H211" s="720">
        <v>0.4</v>
      </c>
      <c r="I211" s="720">
        <v>0.5</v>
      </c>
      <c r="J211" s="720">
        <v>0.5</v>
      </c>
      <c r="K211" s="720">
        <v>0.5</v>
      </c>
      <c r="L211" s="720">
        <v>0.5</v>
      </c>
      <c r="M211" s="720">
        <v>0.5</v>
      </c>
      <c r="N211" s="720">
        <v>0.5</v>
      </c>
      <c r="O211" s="720">
        <v>0.5</v>
      </c>
      <c r="P211" s="720">
        <v>0.6</v>
      </c>
      <c r="Q211" s="720">
        <v>0.6</v>
      </c>
      <c r="R211" s="720">
        <v>0.6</v>
      </c>
      <c r="S211" s="720">
        <v>0.6</v>
      </c>
      <c r="T211" s="720">
        <v>0.6</v>
      </c>
      <c r="U211" s="720">
        <v>0.6</v>
      </c>
      <c r="V211" s="720">
        <v>0.6</v>
      </c>
      <c r="W211" s="720">
        <v>0.7</v>
      </c>
      <c r="X211" s="720">
        <v>0.7</v>
      </c>
      <c r="Y211" s="720">
        <v>0.7</v>
      </c>
      <c r="Z211" s="720">
        <v>0.7</v>
      </c>
      <c r="AA211" s="720">
        <v>0.7</v>
      </c>
      <c r="AB211" s="720">
        <v>0.7</v>
      </c>
      <c r="AC211" s="720">
        <v>0.7</v>
      </c>
      <c r="AD211" s="720">
        <v>0.7</v>
      </c>
      <c r="AE211" s="720">
        <v>0.7</v>
      </c>
      <c r="AF211" s="720">
        <v>0.7</v>
      </c>
      <c r="AG211" s="720">
        <v>0.7</v>
      </c>
    </row>
    <row r="212" spans="1:37" x14ac:dyDescent="0.2">
      <c r="B212" s="423"/>
      <c r="C212" s="423"/>
      <c r="D212" s="423"/>
      <c r="E212" s="423"/>
      <c r="F212" s="423"/>
      <c r="G212" s="423"/>
      <c r="H212" s="423"/>
      <c r="I212" s="423"/>
      <c r="J212" s="423"/>
      <c r="K212" s="423"/>
      <c r="L212" s="423"/>
      <c r="M212" s="423"/>
      <c r="N212" s="423"/>
      <c r="O212" s="423"/>
      <c r="P212" s="423"/>
      <c r="Q212" s="423"/>
      <c r="R212" s="423"/>
      <c r="S212" s="423"/>
      <c r="T212" s="423"/>
      <c r="U212" s="423"/>
      <c r="V212" s="423"/>
      <c r="W212" s="423"/>
      <c r="X212" s="423"/>
      <c r="Y212" s="423"/>
      <c r="Z212" s="423"/>
      <c r="AA212" s="423"/>
      <c r="AB212" s="423"/>
      <c r="AC212" s="423"/>
      <c r="AD212" s="423"/>
      <c r="AE212" s="423"/>
      <c r="AF212" s="423"/>
      <c r="AG212" s="423"/>
      <c r="AH212" s="28"/>
      <c r="AI212" s="28"/>
      <c r="AJ212" s="28"/>
      <c r="AK212" s="28"/>
    </row>
    <row r="213" spans="1:37" ht="25.5" x14ac:dyDescent="0.2">
      <c r="A213" s="38" t="s">
        <v>309</v>
      </c>
      <c r="B213" s="556">
        <v>0.04</v>
      </c>
      <c r="W213" s="29"/>
      <c r="X213" s="29"/>
      <c r="Y213" s="29"/>
      <c r="Z213" s="29"/>
      <c r="AA213" s="29"/>
      <c r="AB213" s="29"/>
      <c r="AC213" s="29"/>
      <c r="AD213" s="29"/>
      <c r="AE213" s="29"/>
      <c r="AF213" s="29"/>
      <c r="AG213" s="29"/>
    </row>
    <row r="214" spans="1:37" x14ac:dyDescent="0.2">
      <c r="A214" s="40" t="s">
        <v>310</v>
      </c>
      <c r="B214" s="707" t="s">
        <v>222</v>
      </c>
      <c r="C214" s="708"/>
      <c r="D214" s="708"/>
      <c r="E214" s="708"/>
      <c r="F214" s="708"/>
      <c r="G214" s="709"/>
      <c r="H214" s="82"/>
      <c r="I214" s="31"/>
      <c r="J214" s="76" t="s">
        <v>311</v>
      </c>
    </row>
    <row r="215" spans="1:37" ht="22.5" customHeight="1" x14ac:dyDescent="0.2">
      <c r="A215" s="40" t="s">
        <v>312</v>
      </c>
      <c r="B215" s="710" t="s">
        <v>226</v>
      </c>
      <c r="C215" s="711"/>
      <c r="D215" s="711"/>
      <c r="E215" s="711"/>
      <c r="F215" s="711"/>
      <c r="G215" s="712"/>
      <c r="H215" s="587"/>
      <c r="I215" s="589"/>
      <c r="J215" s="77">
        <f>MAX('Iedzivotaju maksatspeja'!B40:AG40)</f>
        <v>1.5066439916961128E-2</v>
      </c>
      <c r="K215" s="790" t="str">
        <f>IF(OR(J215&lt;0.02,J215&gt;0.04),"Mājsaimniecību maksājumi par ūdenssaimniecību neiekļaujas 2%-4% robežās","-")</f>
        <v>Mājsaimniecību maksājumi par ūdenssaimniecību neiekļaujas 2%-4% robežās</v>
      </c>
      <c r="L215" s="791"/>
      <c r="M215" s="791"/>
    </row>
    <row r="216" spans="1:37" x14ac:dyDescent="0.2">
      <c r="D216" s="32"/>
      <c r="E216" s="32"/>
      <c r="F216" s="32"/>
      <c r="W216" s="29"/>
      <c r="X216" s="29"/>
      <c r="Y216" s="29"/>
      <c r="Z216" s="29"/>
      <c r="AA216" s="29"/>
      <c r="AB216" s="29"/>
      <c r="AC216" s="29"/>
      <c r="AD216" s="29"/>
      <c r="AE216" s="29"/>
      <c r="AF216" s="29"/>
      <c r="AG216" s="29"/>
    </row>
    <row r="217" spans="1:37" x14ac:dyDescent="0.2">
      <c r="A217" s="590" t="s">
        <v>313</v>
      </c>
      <c r="B217" s="590"/>
      <c r="C217" s="590"/>
      <c r="D217" s="590"/>
      <c r="E217" s="590"/>
      <c r="F217" s="590"/>
      <c r="G217" s="590"/>
      <c r="H217" s="590"/>
      <c r="I217" s="590"/>
      <c r="W217" s="29"/>
      <c r="X217" s="29"/>
      <c r="Y217" s="29"/>
      <c r="Z217" s="29"/>
      <c r="AA217" s="29"/>
      <c r="AB217" s="29"/>
      <c r="AC217" s="29"/>
      <c r="AD217" s="29"/>
      <c r="AE217" s="29"/>
      <c r="AF217" s="29"/>
      <c r="AG217" s="29"/>
    </row>
    <row r="218" spans="1:37" x14ac:dyDescent="0.2">
      <c r="A218" s="71" t="s">
        <v>314</v>
      </c>
      <c r="B218" s="725" t="s">
        <v>215</v>
      </c>
      <c r="C218" s="725"/>
      <c r="D218" s="725"/>
      <c r="E218" s="725"/>
      <c r="F218" s="725"/>
      <c r="G218" s="725"/>
      <c r="I218" s="31"/>
      <c r="W218" s="29"/>
      <c r="X218" s="29"/>
      <c r="Y218" s="29"/>
      <c r="Z218" s="29"/>
      <c r="AA218" s="29"/>
      <c r="AB218" s="29"/>
      <c r="AC218" s="29"/>
      <c r="AD218" s="29"/>
      <c r="AE218" s="29"/>
      <c r="AF218" s="29"/>
      <c r="AG218" s="29"/>
    </row>
    <row r="219" spans="1:37" x14ac:dyDescent="0.2">
      <c r="A219" s="75"/>
      <c r="B219" s="79">
        <v>2017</v>
      </c>
      <c r="C219" s="80">
        <f t="shared" ref="C219:H219" si="86">B219+1</f>
        <v>2018</v>
      </c>
      <c r="D219" s="81">
        <f t="shared" si="86"/>
        <v>2019</v>
      </c>
      <c r="E219" s="81">
        <f t="shared" si="86"/>
        <v>2020</v>
      </c>
      <c r="F219" s="81">
        <f t="shared" si="86"/>
        <v>2021</v>
      </c>
      <c r="G219" s="81">
        <f t="shared" si="86"/>
        <v>2022</v>
      </c>
      <c r="H219" s="81">
        <f t="shared" si="86"/>
        <v>2023</v>
      </c>
    </row>
    <row r="220" spans="1:37" ht="16.5" customHeight="1" x14ac:dyDescent="0.2">
      <c r="A220" s="75" t="s">
        <v>315</v>
      </c>
      <c r="B220" s="749"/>
      <c r="C220" s="762">
        <v>340000</v>
      </c>
      <c r="D220" s="762">
        <f>250386.6-11000+30+0.13</f>
        <v>239416.73</v>
      </c>
      <c r="E220" s="749"/>
      <c r="F220" s="750"/>
      <c r="G220" s="750"/>
      <c r="H220" s="750"/>
      <c r="I220" s="587"/>
      <c r="J220"/>
      <c r="K220"/>
      <c r="L220"/>
    </row>
    <row r="221" spans="1:37" x14ac:dyDescent="0.2">
      <c r="A221" s="72" t="s">
        <v>316</v>
      </c>
      <c r="B221" s="718">
        <v>5.0000000000000001E-3</v>
      </c>
      <c r="C221" s="83"/>
      <c r="D221" s="84"/>
      <c r="E221" s="84"/>
      <c r="F221" s="84"/>
      <c r="G221" s="84"/>
      <c r="H221" s="84"/>
      <c r="W221" s="29"/>
      <c r="X221" s="29"/>
      <c r="Y221" s="29"/>
      <c r="Z221" s="29"/>
      <c r="AA221" s="29"/>
      <c r="AB221" s="29"/>
      <c r="AC221" s="29"/>
      <c r="AD221" s="29"/>
      <c r="AE221" s="29"/>
      <c r="AF221" s="29"/>
      <c r="AG221" s="29"/>
    </row>
    <row r="222" spans="1:37" x14ac:dyDescent="0.2">
      <c r="A222" s="85" t="s">
        <v>317</v>
      </c>
      <c r="B222" s="715">
        <v>30</v>
      </c>
      <c r="C222" s="83"/>
      <c r="D222" s="84"/>
      <c r="E222" s="84"/>
      <c r="F222" s="84"/>
      <c r="G222" s="84"/>
      <c r="H222" s="84"/>
      <c r="W222" s="29"/>
      <c r="X222" s="29"/>
      <c r="Y222" s="29"/>
      <c r="Z222" s="29"/>
      <c r="AA222" s="29"/>
      <c r="AB222" s="29"/>
      <c r="AC222" s="29"/>
      <c r="AD222" s="29"/>
      <c r="AE222" s="29"/>
      <c r="AF222" s="29"/>
      <c r="AG222" s="29"/>
    </row>
    <row r="223" spans="1:37" x14ac:dyDescent="0.2">
      <c r="A223" s="85" t="s">
        <v>318</v>
      </c>
      <c r="B223" s="716"/>
      <c r="C223" s="716"/>
      <c r="D223" s="716"/>
      <c r="E223" s="716"/>
      <c r="F223" s="716"/>
      <c r="G223" s="716"/>
      <c r="H223" s="716"/>
      <c r="W223" s="29"/>
      <c r="X223" s="29"/>
      <c r="Y223" s="29"/>
      <c r="Z223" s="29"/>
      <c r="AA223" s="29"/>
      <c r="AB223" s="29"/>
      <c r="AC223" s="29"/>
      <c r="AD223" s="29"/>
      <c r="AE223" s="29"/>
      <c r="AF223" s="29"/>
      <c r="AG223" s="29"/>
    </row>
    <row r="224" spans="1:37" x14ac:dyDescent="0.2">
      <c r="A224" s="85" t="s">
        <v>319</v>
      </c>
      <c r="B224" s="715" t="s">
        <v>215</v>
      </c>
      <c r="C224" s="83"/>
      <c r="D224" s="84"/>
      <c r="E224" s="84"/>
      <c r="F224" s="84"/>
      <c r="G224" s="84"/>
      <c r="H224" s="84"/>
      <c r="W224" s="29"/>
      <c r="X224" s="29"/>
      <c r="Y224" s="29"/>
      <c r="Z224" s="29"/>
      <c r="AA224" s="29"/>
      <c r="AB224" s="29"/>
      <c r="AC224" s="29"/>
      <c r="AD224" s="29"/>
      <c r="AE224" s="29"/>
      <c r="AF224" s="29"/>
      <c r="AG224" s="29"/>
    </row>
    <row r="225" spans="1:44" x14ac:dyDescent="0.2">
      <c r="A225" s="85" t="s">
        <v>320</v>
      </c>
      <c r="B225" s="717"/>
      <c r="C225" s="83"/>
      <c r="D225" s="84"/>
      <c r="E225" s="84"/>
      <c r="F225" s="84"/>
      <c r="G225" s="84"/>
      <c r="H225" s="84"/>
      <c r="W225" s="29"/>
      <c r="X225" s="29"/>
      <c r="Y225" s="29"/>
      <c r="Z225" s="29"/>
      <c r="AA225" s="29"/>
      <c r="AB225" s="29"/>
      <c r="AC225" s="29"/>
      <c r="AD225" s="29"/>
      <c r="AE225" s="29"/>
      <c r="AF225" s="29"/>
      <c r="AG225" s="29"/>
    </row>
    <row r="226" spans="1:44" ht="25.5" x14ac:dyDescent="0.2">
      <c r="A226" s="85" t="s">
        <v>321</v>
      </c>
      <c r="B226" s="716"/>
      <c r="C226" s="716"/>
      <c r="D226" s="716"/>
      <c r="E226" s="716"/>
      <c r="F226" s="716"/>
      <c r="G226" s="716"/>
      <c r="H226" s="716"/>
      <c r="W226" s="29"/>
      <c r="X226" s="29"/>
      <c r="Y226" s="29"/>
      <c r="Z226" s="29"/>
      <c r="AA226" s="29"/>
      <c r="AB226" s="29"/>
      <c r="AC226" s="29"/>
      <c r="AD226" s="29"/>
      <c r="AE226" s="29"/>
      <c r="AF226" s="29"/>
      <c r="AG226" s="29"/>
    </row>
    <row r="227" spans="1:44" x14ac:dyDescent="0.2">
      <c r="A227" s="72" t="s">
        <v>322</v>
      </c>
      <c r="B227" s="718"/>
      <c r="C227" s="83"/>
      <c r="D227" s="84"/>
      <c r="E227" s="84"/>
      <c r="F227" s="84"/>
      <c r="G227" s="84"/>
      <c r="H227" s="84"/>
      <c r="W227" s="29"/>
      <c r="X227" s="29"/>
      <c r="Y227" s="29"/>
      <c r="Z227" s="29"/>
      <c r="AA227" s="29"/>
      <c r="AB227" s="29"/>
      <c r="AC227" s="29"/>
      <c r="AD227" s="29"/>
      <c r="AE227" s="29"/>
      <c r="AF227" s="29"/>
      <c r="AG227" s="29"/>
    </row>
    <row r="228" spans="1:44" x14ac:dyDescent="0.2">
      <c r="A228" s="85" t="s">
        <v>323</v>
      </c>
      <c r="B228" s="715"/>
      <c r="C228" s="83"/>
      <c r="D228" s="84"/>
      <c r="E228" s="84"/>
      <c r="F228" s="84"/>
      <c r="G228" s="84"/>
      <c r="H228" s="84"/>
      <c r="W228" s="29"/>
      <c r="X228" s="29"/>
      <c r="Y228" s="29"/>
      <c r="Z228" s="29"/>
      <c r="AA228" s="29"/>
      <c r="AB228" s="29"/>
      <c r="AC228" s="29"/>
      <c r="AD228" s="29"/>
      <c r="AE228" s="29"/>
      <c r="AF228" s="29"/>
      <c r="AG228" s="29"/>
    </row>
    <row r="229" spans="1:44" x14ac:dyDescent="0.2">
      <c r="A229" s="85" t="s">
        <v>324</v>
      </c>
      <c r="B229" s="716"/>
      <c r="C229" s="716"/>
      <c r="D229" s="716"/>
      <c r="E229" s="716"/>
      <c r="F229" s="716"/>
      <c r="G229" s="716"/>
      <c r="H229" s="716"/>
      <c r="W229" s="29"/>
      <c r="X229" s="29"/>
      <c r="Y229" s="29"/>
      <c r="Z229" s="29"/>
      <c r="AA229" s="29"/>
      <c r="AB229" s="29"/>
      <c r="AC229" s="29"/>
      <c r="AD229" s="29"/>
      <c r="AE229" s="29"/>
      <c r="AF229" s="29"/>
      <c r="AG229" s="29"/>
    </row>
    <row r="230" spans="1:44" x14ac:dyDescent="0.2">
      <c r="A230" s="86" t="s">
        <v>325</v>
      </c>
      <c r="B230" s="87">
        <f>HLOOKUP(B219,Aprēķini!$B$158:$AH$159,2,FALSE)</f>
        <v>0</v>
      </c>
      <c r="C230" s="87">
        <f>HLOOKUP(C219,Aprēķini!$B$158:$AH$159,2,FALSE)</f>
        <v>0</v>
      </c>
      <c r="D230" s="87">
        <f>HLOOKUP(D219,Aprēķini!$B$158:$AH$159,2,FALSE)</f>
        <v>0</v>
      </c>
      <c r="E230" s="87">
        <f>HLOOKUP(E219,Aprēķini!$B$158:$AH$159,2,FALSE)</f>
        <v>0</v>
      </c>
      <c r="F230" s="87">
        <f>HLOOKUP(F219,Aprēķini!$B$158:$AH$159,2,FALSE)</f>
        <v>0</v>
      </c>
      <c r="G230" s="87">
        <f>HLOOKUP(G219,Aprēķini!$B$158:$AH$159,2,FALSE)</f>
        <v>0</v>
      </c>
      <c r="H230" s="87">
        <f>HLOOKUP(H219,Aprēķini!$B$158:$AH$159,2,FALSE)</f>
        <v>0</v>
      </c>
    </row>
    <row r="231" spans="1:44" x14ac:dyDescent="0.2">
      <c r="A231" s="86" t="s">
        <v>326</v>
      </c>
      <c r="B231" s="87"/>
      <c r="C231" s="87"/>
      <c r="D231" s="87"/>
      <c r="E231" s="87"/>
      <c r="F231" s="87"/>
      <c r="G231" s="87"/>
      <c r="H231" s="87"/>
    </row>
    <row r="232" spans="1:44" x14ac:dyDescent="0.2">
      <c r="A232" s="654"/>
      <c r="B232" s="655">
        <v>2018</v>
      </c>
      <c r="C232" s="80">
        <f>B232+1</f>
        <v>2019</v>
      </c>
      <c r="D232" s="81">
        <f t="shared" ref="D232:Z232" si="87">C232+1</f>
        <v>2020</v>
      </c>
      <c r="E232" s="81">
        <f t="shared" si="87"/>
        <v>2021</v>
      </c>
      <c r="F232" s="81">
        <f t="shared" si="87"/>
        <v>2022</v>
      </c>
      <c r="G232" s="81">
        <f t="shared" si="87"/>
        <v>2023</v>
      </c>
      <c r="H232" s="81">
        <f t="shared" si="87"/>
        <v>2024</v>
      </c>
      <c r="I232" s="81">
        <f t="shared" si="87"/>
        <v>2025</v>
      </c>
      <c r="J232" s="81">
        <f t="shared" si="87"/>
        <v>2026</v>
      </c>
      <c r="K232" s="81">
        <f t="shared" si="87"/>
        <v>2027</v>
      </c>
      <c r="L232" s="81">
        <f t="shared" si="87"/>
        <v>2028</v>
      </c>
      <c r="M232" s="81">
        <f t="shared" si="87"/>
        <v>2029</v>
      </c>
      <c r="N232" s="81">
        <f t="shared" si="87"/>
        <v>2030</v>
      </c>
      <c r="O232" s="81">
        <f t="shared" si="87"/>
        <v>2031</v>
      </c>
      <c r="P232" s="81">
        <f t="shared" si="87"/>
        <v>2032</v>
      </c>
      <c r="Q232" s="81">
        <f t="shared" si="87"/>
        <v>2033</v>
      </c>
      <c r="R232" s="81">
        <f t="shared" si="87"/>
        <v>2034</v>
      </c>
      <c r="S232" s="81">
        <f t="shared" si="87"/>
        <v>2035</v>
      </c>
      <c r="T232" s="81">
        <f t="shared" si="87"/>
        <v>2036</v>
      </c>
      <c r="U232" s="81">
        <f t="shared" si="87"/>
        <v>2037</v>
      </c>
      <c r="V232" s="81">
        <f t="shared" si="87"/>
        <v>2038</v>
      </c>
      <c r="W232" s="81">
        <f t="shared" si="87"/>
        <v>2039</v>
      </c>
      <c r="X232" s="81">
        <f t="shared" si="87"/>
        <v>2040</v>
      </c>
      <c r="Y232" s="81">
        <f t="shared" si="87"/>
        <v>2041</v>
      </c>
      <c r="Z232" s="81">
        <f t="shared" si="87"/>
        <v>2042</v>
      </c>
      <c r="AA232" s="81">
        <f t="shared" ref="AA232:AG232" si="88">Z232+1</f>
        <v>2043</v>
      </c>
      <c r="AB232" s="81">
        <f t="shared" si="88"/>
        <v>2044</v>
      </c>
      <c r="AC232" s="81">
        <f t="shared" si="88"/>
        <v>2045</v>
      </c>
      <c r="AD232" s="81">
        <f t="shared" si="88"/>
        <v>2046</v>
      </c>
      <c r="AE232" s="81">
        <f t="shared" si="88"/>
        <v>2047</v>
      </c>
      <c r="AF232" s="81">
        <f t="shared" si="88"/>
        <v>2048</v>
      </c>
      <c r="AG232" s="81">
        <f t="shared" si="88"/>
        <v>2049</v>
      </c>
    </row>
    <row r="233" spans="1:44" x14ac:dyDescent="0.2">
      <c r="A233" s="85" t="s">
        <v>327</v>
      </c>
      <c r="B233" s="716">
        <v>1601407</v>
      </c>
      <c r="C233" s="716">
        <f>B233</f>
        <v>1601407</v>
      </c>
      <c r="D233" s="716">
        <f t="shared" ref="D233:AG233" si="89">C233</f>
        <v>1601407</v>
      </c>
      <c r="E233" s="716">
        <f t="shared" si="89"/>
        <v>1601407</v>
      </c>
      <c r="F233" s="716">
        <f t="shared" si="89"/>
        <v>1601407</v>
      </c>
      <c r="G233" s="716">
        <f t="shared" si="89"/>
        <v>1601407</v>
      </c>
      <c r="H233" s="716">
        <f t="shared" si="89"/>
        <v>1601407</v>
      </c>
      <c r="I233" s="716">
        <f t="shared" si="89"/>
        <v>1601407</v>
      </c>
      <c r="J233" s="716">
        <f t="shared" si="89"/>
        <v>1601407</v>
      </c>
      <c r="K233" s="716">
        <f t="shared" si="89"/>
        <v>1601407</v>
      </c>
      <c r="L233" s="716">
        <f t="shared" si="89"/>
        <v>1601407</v>
      </c>
      <c r="M233" s="716">
        <f t="shared" si="89"/>
        <v>1601407</v>
      </c>
      <c r="N233" s="716">
        <f t="shared" si="89"/>
        <v>1601407</v>
      </c>
      <c r="O233" s="716">
        <f t="shared" si="89"/>
        <v>1601407</v>
      </c>
      <c r="P233" s="716">
        <f t="shared" si="89"/>
        <v>1601407</v>
      </c>
      <c r="Q233" s="716">
        <f t="shared" si="89"/>
        <v>1601407</v>
      </c>
      <c r="R233" s="716">
        <f t="shared" si="89"/>
        <v>1601407</v>
      </c>
      <c r="S233" s="716">
        <f t="shared" si="89"/>
        <v>1601407</v>
      </c>
      <c r="T233" s="716">
        <f t="shared" si="89"/>
        <v>1601407</v>
      </c>
      <c r="U233" s="716">
        <f t="shared" si="89"/>
        <v>1601407</v>
      </c>
      <c r="V233" s="716">
        <f t="shared" si="89"/>
        <v>1601407</v>
      </c>
      <c r="W233" s="716">
        <f t="shared" si="89"/>
        <v>1601407</v>
      </c>
      <c r="X233" s="716">
        <f t="shared" si="89"/>
        <v>1601407</v>
      </c>
      <c r="Y233" s="716">
        <f t="shared" si="89"/>
        <v>1601407</v>
      </c>
      <c r="Z233" s="716">
        <f t="shared" si="89"/>
        <v>1601407</v>
      </c>
      <c r="AA233" s="716">
        <f t="shared" si="89"/>
        <v>1601407</v>
      </c>
      <c r="AB233" s="716">
        <f t="shared" si="89"/>
        <v>1601407</v>
      </c>
      <c r="AC233" s="716">
        <f t="shared" si="89"/>
        <v>1601407</v>
      </c>
      <c r="AD233" s="716">
        <f t="shared" si="89"/>
        <v>1601407</v>
      </c>
      <c r="AE233" s="716">
        <f t="shared" si="89"/>
        <v>1601407</v>
      </c>
      <c r="AF233" s="716">
        <f t="shared" si="89"/>
        <v>1601407</v>
      </c>
      <c r="AG233" s="716">
        <f t="shared" si="89"/>
        <v>1601407</v>
      </c>
    </row>
    <row r="234" spans="1:44" x14ac:dyDescent="0.2">
      <c r="A234" s="88" t="s">
        <v>328</v>
      </c>
      <c r="B234" s="716">
        <v>23562401</v>
      </c>
      <c r="C234" s="716">
        <v>23562401</v>
      </c>
      <c r="D234" s="716">
        <v>23562401</v>
      </c>
      <c r="E234" s="716">
        <v>23562401</v>
      </c>
      <c r="F234" s="716">
        <v>23562401</v>
      </c>
      <c r="G234" s="716">
        <v>23562401</v>
      </c>
      <c r="H234" s="716">
        <v>23562401</v>
      </c>
      <c r="I234" s="716">
        <v>23562401</v>
      </c>
      <c r="J234" s="716">
        <v>23562401</v>
      </c>
      <c r="K234" s="716">
        <v>23562401</v>
      </c>
      <c r="L234" s="716">
        <v>23562401</v>
      </c>
      <c r="M234" s="716">
        <v>23562401</v>
      </c>
      <c r="N234" s="716">
        <v>23562401</v>
      </c>
      <c r="O234" s="716">
        <v>23562401</v>
      </c>
      <c r="P234" s="716">
        <v>23562401</v>
      </c>
      <c r="Q234" s="716">
        <v>23562401</v>
      </c>
      <c r="R234" s="716">
        <v>23562401</v>
      </c>
      <c r="S234" s="716">
        <v>23562401</v>
      </c>
      <c r="T234" s="716">
        <v>23562401</v>
      </c>
      <c r="U234" s="716">
        <v>23562401</v>
      </c>
      <c r="V234" s="716">
        <v>23562401</v>
      </c>
      <c r="W234" s="716">
        <v>23562401</v>
      </c>
      <c r="X234" s="716">
        <v>23562401</v>
      </c>
      <c r="Y234" s="716">
        <v>23562401</v>
      </c>
      <c r="Z234" s="716">
        <v>23562401</v>
      </c>
      <c r="AA234" s="716">
        <v>23562401</v>
      </c>
      <c r="AB234" s="716">
        <v>23562401</v>
      </c>
      <c r="AC234" s="716">
        <v>23562401</v>
      </c>
      <c r="AD234" s="716">
        <v>23562401</v>
      </c>
      <c r="AE234" s="716">
        <v>23562401</v>
      </c>
      <c r="AF234" s="716">
        <v>23562401</v>
      </c>
      <c r="AG234" s="716">
        <v>23562401</v>
      </c>
    </row>
    <row r="235" spans="1:44" ht="25.5" x14ac:dyDescent="0.2">
      <c r="A235" s="85" t="s">
        <v>329</v>
      </c>
      <c r="B235" s="716">
        <f>SUM(B294:B301)</f>
        <v>70069</v>
      </c>
      <c r="C235" s="716">
        <f t="shared" ref="C235:AG235" si="90">SUM(C294:C301)</f>
        <v>72509</v>
      </c>
      <c r="D235" s="716">
        <f t="shared" si="90"/>
        <v>71989</v>
      </c>
      <c r="E235" s="716">
        <f t="shared" si="90"/>
        <v>71467</v>
      </c>
      <c r="F235" s="716">
        <f t="shared" si="90"/>
        <v>70948</v>
      </c>
      <c r="G235" s="716">
        <f t="shared" si="90"/>
        <v>70426</v>
      </c>
      <c r="H235" s="716">
        <f t="shared" si="90"/>
        <v>69905</v>
      </c>
      <c r="I235" s="716">
        <f t="shared" si="90"/>
        <v>145351.04352548037</v>
      </c>
      <c r="J235" s="716">
        <f t="shared" si="90"/>
        <v>145351.04352548037</v>
      </c>
      <c r="K235" s="716">
        <f t="shared" si="90"/>
        <v>145351.04352548037</v>
      </c>
      <c r="L235" s="716">
        <f t="shared" si="90"/>
        <v>52948.376858813703</v>
      </c>
      <c r="M235" s="716">
        <f t="shared" si="90"/>
        <v>52948.376858813703</v>
      </c>
      <c r="N235" s="716">
        <f t="shared" si="90"/>
        <v>52948.376858813703</v>
      </c>
      <c r="O235" s="716">
        <f t="shared" si="90"/>
        <v>52948.376858813703</v>
      </c>
      <c r="P235" s="716">
        <f t="shared" si="90"/>
        <v>48333.662573099413</v>
      </c>
      <c r="Q235" s="716">
        <f t="shared" si="90"/>
        <v>48333.662573099413</v>
      </c>
      <c r="R235" s="716">
        <f t="shared" si="90"/>
        <v>37751.77368421053</v>
      </c>
      <c r="S235" s="716">
        <f t="shared" si="90"/>
        <v>28128.473684210527</v>
      </c>
      <c r="T235" s="716">
        <f t="shared" si="90"/>
        <v>28128.473684210527</v>
      </c>
      <c r="U235" s="716">
        <f t="shared" si="90"/>
        <v>28128.473684210527</v>
      </c>
      <c r="V235" s="716">
        <f t="shared" si="90"/>
        <v>28128.473684210527</v>
      </c>
      <c r="W235" s="716">
        <f t="shared" si="90"/>
        <v>28128.473684210527</v>
      </c>
      <c r="X235" s="716">
        <f t="shared" si="90"/>
        <v>28128.473684210527</v>
      </c>
      <c r="Y235" s="716">
        <f t="shared" si="90"/>
        <v>28128.473684210527</v>
      </c>
      <c r="Z235" s="716">
        <f t="shared" si="90"/>
        <v>28128.473684210527</v>
      </c>
      <c r="AA235" s="716">
        <f t="shared" si="90"/>
        <v>28128.473684210527</v>
      </c>
      <c r="AB235" s="716">
        <f t="shared" si="90"/>
        <v>0</v>
      </c>
      <c r="AC235" s="716">
        <f t="shared" si="90"/>
        <v>0</v>
      </c>
      <c r="AD235" s="716">
        <f t="shared" si="90"/>
        <v>0</v>
      </c>
      <c r="AE235" s="716">
        <f t="shared" si="90"/>
        <v>0</v>
      </c>
      <c r="AF235" s="716">
        <f t="shared" si="90"/>
        <v>0</v>
      </c>
      <c r="AG235" s="716">
        <f t="shared" si="90"/>
        <v>0</v>
      </c>
    </row>
    <row r="236" spans="1:44" x14ac:dyDescent="0.2">
      <c r="A236" s="85" t="s">
        <v>330</v>
      </c>
      <c r="B236" s="716">
        <v>0</v>
      </c>
      <c r="C236" s="716">
        <v>0</v>
      </c>
      <c r="D236" s="716">
        <v>0</v>
      </c>
      <c r="E236" s="716">
        <v>0</v>
      </c>
      <c r="F236" s="716">
        <v>0</v>
      </c>
      <c r="G236" s="716">
        <v>0</v>
      </c>
      <c r="H236" s="716">
        <v>0</v>
      </c>
      <c r="I236" s="716">
        <v>0</v>
      </c>
      <c r="J236" s="716">
        <v>0</v>
      </c>
      <c r="K236" s="716">
        <v>0</v>
      </c>
      <c r="L236" s="716">
        <v>0</v>
      </c>
      <c r="M236" s="716">
        <v>0</v>
      </c>
      <c r="N236" s="716">
        <v>0</v>
      </c>
      <c r="O236" s="716">
        <v>0</v>
      </c>
      <c r="P236" s="716">
        <v>0</v>
      </c>
      <c r="Q236" s="716">
        <v>0</v>
      </c>
      <c r="R236" s="716">
        <v>0</v>
      </c>
      <c r="S236" s="716">
        <v>0</v>
      </c>
      <c r="T236" s="716">
        <v>0</v>
      </c>
      <c r="U236" s="716">
        <v>0</v>
      </c>
      <c r="V236" s="716">
        <v>0</v>
      </c>
      <c r="W236" s="716">
        <v>0</v>
      </c>
      <c r="X236" s="716">
        <v>0</v>
      </c>
      <c r="Y236" s="716">
        <v>0</v>
      </c>
      <c r="Z236" s="716">
        <v>0</v>
      </c>
      <c r="AA236" s="716">
        <v>0</v>
      </c>
      <c r="AB236" s="716">
        <v>0</v>
      </c>
      <c r="AC236" s="716">
        <v>0</v>
      </c>
      <c r="AD236" s="716">
        <v>0</v>
      </c>
      <c r="AE236" s="716">
        <v>0</v>
      </c>
      <c r="AF236" s="716">
        <v>0</v>
      </c>
      <c r="AG236" s="716">
        <v>0</v>
      </c>
    </row>
    <row r="237" spans="1:44" x14ac:dyDescent="0.2">
      <c r="A237" s="85" t="s">
        <v>331</v>
      </c>
      <c r="B237" s="716">
        <v>0</v>
      </c>
      <c r="C237" s="716">
        <v>0</v>
      </c>
      <c r="D237" s="716">
        <v>0</v>
      </c>
      <c r="E237" s="716">
        <v>0</v>
      </c>
      <c r="F237" s="716">
        <v>0</v>
      </c>
      <c r="G237" s="716">
        <v>0</v>
      </c>
      <c r="H237" s="716">
        <v>0</v>
      </c>
      <c r="I237" s="716">
        <v>0</v>
      </c>
      <c r="J237" s="716">
        <v>0</v>
      </c>
      <c r="K237" s="716">
        <v>0</v>
      </c>
      <c r="L237" s="716">
        <v>0</v>
      </c>
      <c r="M237" s="716">
        <v>0</v>
      </c>
      <c r="N237" s="716">
        <v>0</v>
      </c>
      <c r="O237" s="716">
        <v>0</v>
      </c>
      <c r="P237" s="716">
        <v>0</v>
      </c>
      <c r="Q237" s="716">
        <v>0</v>
      </c>
      <c r="R237" s="716">
        <v>0</v>
      </c>
      <c r="S237" s="716">
        <v>0</v>
      </c>
      <c r="T237" s="716">
        <v>0</v>
      </c>
      <c r="U237" s="716">
        <v>0</v>
      </c>
      <c r="V237" s="716">
        <v>0</v>
      </c>
      <c r="W237" s="716">
        <v>0</v>
      </c>
      <c r="X237" s="716">
        <v>0</v>
      </c>
      <c r="Y237" s="716">
        <v>0</v>
      </c>
      <c r="Z237" s="716">
        <v>0</v>
      </c>
      <c r="AA237" s="716">
        <v>0</v>
      </c>
      <c r="AB237" s="716">
        <v>0</v>
      </c>
      <c r="AC237" s="716">
        <v>0</v>
      </c>
      <c r="AD237" s="716">
        <v>0</v>
      </c>
      <c r="AE237" s="716">
        <v>0</v>
      </c>
      <c r="AF237" s="716">
        <v>0</v>
      </c>
      <c r="AG237" s="716">
        <v>0</v>
      </c>
    </row>
    <row r="238" spans="1:44" x14ac:dyDescent="0.2">
      <c r="A238" s="88" t="s">
        <v>332</v>
      </c>
      <c r="B238" s="89">
        <f t="shared" ref="B238:AG238" si="91">B251/B234</f>
        <v>5.7602024513545964E-2</v>
      </c>
      <c r="C238" s="89">
        <f t="shared" si="91"/>
        <v>6.4647698678924947E-2</v>
      </c>
      <c r="D238" s="89">
        <f t="shared" si="91"/>
        <v>5.156571267928086E-2</v>
      </c>
      <c r="E238" s="89">
        <f t="shared" si="91"/>
        <v>4.6048914964141388E-2</v>
      </c>
      <c r="F238" s="89">
        <f t="shared" si="91"/>
        <v>3.9510362292874988E-2</v>
      </c>
      <c r="G238" s="89">
        <f t="shared" si="91"/>
        <v>3.3329922532088302E-2</v>
      </c>
      <c r="H238" s="89">
        <f t="shared" si="91"/>
        <v>2.9112865025936872E-2</v>
      </c>
      <c r="I238" s="89">
        <f t="shared" si="91"/>
        <v>2.9157629298782559E-2</v>
      </c>
      <c r="J238" s="89">
        <f t="shared" si="91"/>
        <v>2.8229711748715983E-2</v>
      </c>
      <c r="K238" s="89">
        <f t="shared" si="91"/>
        <v>2.5721731573419178E-2</v>
      </c>
      <c r="L238" s="89">
        <f t="shared" si="91"/>
        <v>1.9559046087051859E-2</v>
      </c>
      <c r="M238" s="89">
        <f t="shared" si="91"/>
        <v>1.8742872896552302E-2</v>
      </c>
      <c r="N238" s="89">
        <f t="shared" si="91"/>
        <v>1.8177302350494622E-2</v>
      </c>
      <c r="O238" s="89">
        <f t="shared" si="91"/>
        <v>1.8177302350494622E-2</v>
      </c>
      <c r="P238" s="89">
        <f t="shared" si="91"/>
        <v>1.7981451584449418E-2</v>
      </c>
      <c r="Q238" s="89">
        <f t="shared" si="91"/>
        <v>1.6873537115121781E-2</v>
      </c>
      <c r="R238" s="89">
        <f t="shared" si="91"/>
        <v>1.6021204621501965E-2</v>
      </c>
      <c r="S238" s="89">
        <f t="shared" si="91"/>
        <v>1.0036351889388628E-2</v>
      </c>
      <c r="T238" s="89">
        <f t="shared" si="91"/>
        <v>8.5218434763684719E-3</v>
      </c>
      <c r="U238" s="89">
        <f t="shared" si="91"/>
        <v>8.1967068317625163E-3</v>
      </c>
      <c r="V238" s="89">
        <f t="shared" si="91"/>
        <v>8.1967068317625163E-3</v>
      </c>
      <c r="W238" s="89">
        <f t="shared" si="91"/>
        <v>8.1967068317625163E-3</v>
      </c>
      <c r="X238" s="89">
        <f t="shared" si="91"/>
        <v>8.1967068317625163E-3</v>
      </c>
      <c r="Y238" s="89">
        <f t="shared" si="91"/>
        <v>8.1967068317625163E-3</v>
      </c>
      <c r="Z238" s="89">
        <f t="shared" si="91"/>
        <v>8.1967068317625163E-3</v>
      </c>
      <c r="AA238" s="89">
        <f t="shared" si="91"/>
        <v>8.1967068317625163E-3</v>
      </c>
      <c r="AB238" s="89">
        <f t="shared" si="91"/>
        <v>7.0029204394415241E-3</v>
      </c>
      <c r="AC238" s="89">
        <f t="shared" si="91"/>
        <v>7.0029204394415241E-3</v>
      </c>
      <c r="AD238" s="89">
        <f t="shared" si="91"/>
        <v>7.0029204394415241E-3</v>
      </c>
      <c r="AE238" s="89">
        <f t="shared" si="91"/>
        <v>7.0029204394415241E-3</v>
      </c>
      <c r="AF238" s="89">
        <f t="shared" si="91"/>
        <v>2.8384946848158642E-3</v>
      </c>
      <c r="AG238" s="89">
        <f t="shared" si="91"/>
        <v>0</v>
      </c>
    </row>
    <row r="239" spans="1:44" x14ac:dyDescent="0.2">
      <c r="A239" s="88" t="s">
        <v>333</v>
      </c>
      <c r="B239" s="89">
        <v>0.2</v>
      </c>
      <c r="C239" s="267"/>
      <c r="D239" s="267"/>
      <c r="E239" s="267"/>
      <c r="F239" s="267"/>
      <c r="G239" s="267"/>
      <c r="H239" s="267"/>
      <c r="I239" s="267"/>
      <c r="J239" s="267"/>
      <c r="K239" s="267"/>
      <c r="L239" s="267"/>
      <c r="M239" s="267"/>
      <c r="N239" s="267"/>
      <c r="O239" s="267"/>
      <c r="P239" s="267"/>
      <c r="Q239" s="267"/>
      <c r="R239" s="267"/>
      <c r="S239" s="267"/>
      <c r="T239" s="267"/>
      <c r="U239" s="267"/>
      <c r="V239" s="267"/>
      <c r="W239" s="267"/>
      <c r="X239" s="267"/>
      <c r="Y239" s="267"/>
      <c r="Z239" s="267"/>
      <c r="AA239" s="267"/>
      <c r="AB239" s="267"/>
      <c r="AC239" s="267"/>
      <c r="AD239" s="267"/>
      <c r="AE239" s="267"/>
      <c r="AF239" s="267"/>
      <c r="AG239" s="267"/>
      <c r="AH239" s="5"/>
      <c r="AI239" s="5"/>
      <c r="AJ239" s="5"/>
      <c r="AK239" s="5"/>
      <c r="AL239" s="5"/>
      <c r="AM239" s="5"/>
      <c r="AN239" s="5"/>
      <c r="AO239" s="5"/>
      <c r="AP239" s="5"/>
      <c r="AQ239" s="5"/>
      <c r="AR239" s="5"/>
    </row>
    <row r="240" spans="1:44" x14ac:dyDescent="0.2">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row>
    <row r="241" spans="1:44" x14ac:dyDescent="0.2">
      <c r="B241" s="44">
        <v>2017</v>
      </c>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row>
    <row r="242" spans="1:44" x14ac:dyDescent="0.2">
      <c r="A242" s="40" t="s">
        <v>334</v>
      </c>
      <c r="B242" s="716">
        <v>4480891</v>
      </c>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row>
    <row r="243" spans="1:44" x14ac:dyDescent="0.2">
      <c r="A243" s="40" t="s">
        <v>335</v>
      </c>
      <c r="B243" s="716">
        <v>-471720</v>
      </c>
    </row>
    <row r="244" spans="1:44" x14ac:dyDescent="0.2">
      <c r="A244" s="40" t="s">
        <v>336</v>
      </c>
      <c r="B244" s="716">
        <v>150436</v>
      </c>
    </row>
    <row r="245" spans="1:44" x14ac:dyDescent="0.2">
      <c r="A245" s="86" t="s">
        <v>489</v>
      </c>
      <c r="B245" s="90">
        <f>Aprēķini!B318</f>
        <v>0</v>
      </c>
    </row>
    <row r="246" spans="1:44" x14ac:dyDescent="0.2">
      <c r="A246" s="50" t="s">
        <v>337</v>
      </c>
      <c r="B246" s="716">
        <v>922420</v>
      </c>
      <c r="D246" s="84"/>
      <c r="J246" s="5"/>
      <c r="K246" s="5"/>
      <c r="L246" s="5"/>
      <c r="M246" s="5"/>
    </row>
    <row r="248" spans="1:44" x14ac:dyDescent="0.2">
      <c r="A248" s="591" t="s">
        <v>338</v>
      </c>
      <c r="B248" s="592"/>
      <c r="C248" s="592"/>
      <c r="D248" s="592"/>
      <c r="E248" s="592"/>
      <c r="F248" s="592"/>
      <c r="G248" s="592"/>
      <c r="H248" s="592"/>
      <c r="I248" s="593"/>
    </row>
    <row r="249" spans="1:44" x14ac:dyDescent="0.2">
      <c r="A249" s="91"/>
      <c r="B249" s="91"/>
      <c r="C249" s="91"/>
      <c r="D249" s="91"/>
      <c r="E249" s="91"/>
      <c r="F249" s="91"/>
      <c r="G249" s="91"/>
      <c r="H249" s="91"/>
    </row>
    <row r="250" spans="1:44" x14ac:dyDescent="0.2">
      <c r="A250" s="654"/>
      <c r="B250" s="81">
        <v>2018</v>
      </c>
      <c r="C250" s="652">
        <f t="shared" ref="C250:H250" si="92">B250+1</f>
        <v>2019</v>
      </c>
      <c r="D250" s="92">
        <f t="shared" si="92"/>
        <v>2020</v>
      </c>
      <c r="E250" s="92">
        <f t="shared" si="92"/>
        <v>2021</v>
      </c>
      <c r="F250" s="92">
        <f t="shared" si="92"/>
        <v>2022</v>
      </c>
      <c r="G250" s="92">
        <f t="shared" si="92"/>
        <v>2023</v>
      </c>
      <c r="H250" s="92">
        <f t="shared" si="92"/>
        <v>2024</v>
      </c>
      <c r="I250" s="92">
        <f t="shared" ref="I250:P250" si="93">H250+1</f>
        <v>2025</v>
      </c>
      <c r="J250" s="92">
        <f t="shared" si="93"/>
        <v>2026</v>
      </c>
      <c r="K250" s="92">
        <f t="shared" si="93"/>
        <v>2027</v>
      </c>
      <c r="L250" s="92">
        <f t="shared" si="93"/>
        <v>2028</v>
      </c>
      <c r="M250" s="92">
        <f t="shared" si="93"/>
        <v>2029</v>
      </c>
      <c r="N250" s="92">
        <f t="shared" si="93"/>
        <v>2030</v>
      </c>
      <c r="O250" s="92">
        <f t="shared" si="93"/>
        <v>2031</v>
      </c>
      <c r="P250" s="92">
        <f t="shared" si="93"/>
        <v>2032</v>
      </c>
      <c r="Q250" s="92">
        <f t="shared" ref="Q250:Z250" si="94">P250+1</f>
        <v>2033</v>
      </c>
      <c r="R250" s="92">
        <f t="shared" si="94"/>
        <v>2034</v>
      </c>
      <c r="S250" s="92">
        <f t="shared" si="94"/>
        <v>2035</v>
      </c>
      <c r="T250" s="92">
        <f t="shared" si="94"/>
        <v>2036</v>
      </c>
      <c r="U250" s="92">
        <f t="shared" si="94"/>
        <v>2037</v>
      </c>
      <c r="V250" s="92">
        <f t="shared" si="94"/>
        <v>2038</v>
      </c>
      <c r="W250" s="92">
        <f t="shared" si="94"/>
        <v>2039</v>
      </c>
      <c r="X250" s="92">
        <f t="shared" si="94"/>
        <v>2040</v>
      </c>
      <c r="Y250" s="92">
        <f t="shared" si="94"/>
        <v>2041</v>
      </c>
      <c r="Z250" s="92">
        <f t="shared" si="94"/>
        <v>2042</v>
      </c>
      <c r="AA250" s="92">
        <f t="shared" ref="AA250:AG250" si="95">Z250+1</f>
        <v>2043</v>
      </c>
      <c r="AB250" s="92">
        <f t="shared" si="95"/>
        <v>2044</v>
      </c>
      <c r="AC250" s="92">
        <f t="shared" si="95"/>
        <v>2045</v>
      </c>
      <c r="AD250" s="92">
        <f t="shared" si="95"/>
        <v>2046</v>
      </c>
      <c r="AE250" s="92">
        <f t="shared" si="95"/>
        <v>2047</v>
      </c>
      <c r="AF250" s="92">
        <f t="shared" si="95"/>
        <v>2048</v>
      </c>
      <c r="AG250" s="92">
        <f t="shared" si="95"/>
        <v>2049</v>
      </c>
    </row>
    <row r="251" spans="1:44" x14ac:dyDescent="0.2">
      <c r="A251" s="569" t="s">
        <v>339</v>
      </c>
      <c r="B251" s="51">
        <f t="shared" ref="B251:AG251" si="96">SUM(B252:B302)</f>
        <v>1357242</v>
      </c>
      <c r="C251" s="653">
        <f t="shared" si="96"/>
        <v>1523255</v>
      </c>
      <c r="D251" s="51">
        <f t="shared" si="96"/>
        <v>1215012</v>
      </c>
      <c r="E251" s="51">
        <f t="shared" si="96"/>
        <v>1085023</v>
      </c>
      <c r="F251" s="51">
        <f t="shared" si="96"/>
        <v>930959</v>
      </c>
      <c r="G251" s="51">
        <f t="shared" si="96"/>
        <v>785333</v>
      </c>
      <c r="H251" s="51">
        <f t="shared" si="96"/>
        <v>685969</v>
      </c>
      <c r="I251" s="51">
        <f t="shared" si="96"/>
        <v>687023.75374726346</v>
      </c>
      <c r="J251" s="51">
        <f t="shared" si="96"/>
        <v>665159.78833765723</v>
      </c>
      <c r="K251" s="51">
        <f t="shared" si="96"/>
        <v>606065.75374726357</v>
      </c>
      <c r="L251" s="51">
        <f t="shared" si="96"/>
        <v>460858.08708059683</v>
      </c>
      <c r="M251" s="51">
        <f t="shared" si="96"/>
        <v>441627.08708059683</v>
      </c>
      <c r="N251" s="51">
        <f t="shared" si="96"/>
        <v>428300.88708059682</v>
      </c>
      <c r="O251" s="51">
        <f t="shared" si="96"/>
        <v>428300.88708059682</v>
      </c>
      <c r="P251" s="51">
        <f t="shared" si="96"/>
        <v>423686.17279488256</v>
      </c>
      <c r="Q251" s="51">
        <f t="shared" si="96"/>
        <v>397581.04779488256</v>
      </c>
      <c r="R251" s="51">
        <f t="shared" si="96"/>
        <v>377498.0477948825</v>
      </c>
      <c r="S251" s="51">
        <f t="shared" si="96"/>
        <v>236480.54779488247</v>
      </c>
      <c r="T251" s="51">
        <f t="shared" si="96"/>
        <v>200795.09324942794</v>
      </c>
      <c r="U251" s="51">
        <f t="shared" si="96"/>
        <v>193134.09324942794</v>
      </c>
      <c r="V251" s="51">
        <f t="shared" si="96"/>
        <v>193134.09324942794</v>
      </c>
      <c r="W251" s="51">
        <f t="shared" si="96"/>
        <v>193134.09324942794</v>
      </c>
      <c r="X251" s="51">
        <f t="shared" si="96"/>
        <v>193134.09324942794</v>
      </c>
      <c r="Y251" s="51">
        <f t="shared" si="96"/>
        <v>193134.09324942794</v>
      </c>
      <c r="Z251" s="51">
        <f t="shared" si="96"/>
        <v>193134.09324942794</v>
      </c>
      <c r="AA251" s="51">
        <f t="shared" si="96"/>
        <v>193134.09324942794</v>
      </c>
      <c r="AB251" s="51">
        <f t="shared" si="96"/>
        <v>165005.61956521741</v>
      </c>
      <c r="AC251" s="51">
        <f t="shared" si="96"/>
        <v>165005.61956521741</v>
      </c>
      <c r="AD251" s="51">
        <f t="shared" si="96"/>
        <v>165005.61956521741</v>
      </c>
      <c r="AE251" s="51">
        <f t="shared" si="96"/>
        <v>165005.61956521741</v>
      </c>
      <c r="AF251" s="51">
        <f t="shared" si="96"/>
        <v>66881.75</v>
      </c>
      <c r="AG251" s="51">
        <f t="shared" si="96"/>
        <v>0</v>
      </c>
    </row>
    <row r="252" spans="1:44" x14ac:dyDescent="0.2">
      <c r="A252" s="785" t="s">
        <v>340</v>
      </c>
      <c r="B252" s="786"/>
      <c r="C252" s="786"/>
      <c r="D252" s="786"/>
      <c r="E252" s="786"/>
      <c r="F252" s="786"/>
      <c r="G252" s="786"/>
      <c r="H252" s="786"/>
      <c r="I252" s="786"/>
      <c r="J252" s="786"/>
      <c r="K252" s="786"/>
      <c r="L252" s="786"/>
      <c r="M252" s="786"/>
      <c r="N252" s="786"/>
      <c r="O252" s="786"/>
      <c r="P252" s="786"/>
      <c r="Q252" s="786"/>
      <c r="R252" s="786"/>
      <c r="S252" s="786"/>
      <c r="T252" s="786"/>
      <c r="U252" s="786"/>
      <c r="V252" s="786"/>
      <c r="W252" s="786"/>
      <c r="X252" s="786"/>
      <c r="Y252" s="786"/>
      <c r="Z252" s="786"/>
      <c r="AA252" s="786"/>
      <c r="AB252" s="786"/>
      <c r="AC252" s="786"/>
      <c r="AD252" s="786"/>
      <c r="AE252" s="786"/>
      <c r="AF252" s="786"/>
      <c r="AG252" s="786"/>
    </row>
    <row r="253" spans="1:44" ht="25.5" x14ac:dyDescent="0.2">
      <c r="A253" s="728" t="s">
        <v>490</v>
      </c>
      <c r="B253" s="729">
        <v>107073</v>
      </c>
      <c r="C253" s="729">
        <v>102976</v>
      </c>
      <c r="D253" s="729">
        <v>25106</v>
      </c>
      <c r="E253" s="729"/>
      <c r="F253" s="729"/>
      <c r="G253" s="729"/>
      <c r="H253" s="729"/>
      <c r="I253" s="729"/>
      <c r="J253" s="729"/>
      <c r="K253" s="729"/>
      <c r="L253" s="729"/>
      <c r="M253" s="729"/>
      <c r="N253" s="729"/>
      <c r="O253" s="729"/>
      <c r="P253" s="729"/>
      <c r="Q253" s="729"/>
      <c r="R253" s="729"/>
      <c r="S253" s="729"/>
      <c r="T253" s="729"/>
      <c r="U253" s="729"/>
      <c r="V253" s="729"/>
      <c r="W253" s="729"/>
      <c r="X253" s="729"/>
      <c r="Y253" s="729"/>
      <c r="Z253" s="729"/>
      <c r="AA253" s="729"/>
      <c r="AB253" s="729"/>
      <c r="AC253" s="729"/>
      <c r="AD253" s="729"/>
      <c r="AE253" s="729"/>
      <c r="AF253" s="729"/>
      <c r="AG253" s="729"/>
    </row>
    <row r="254" spans="1:44" ht="25.5" x14ac:dyDescent="0.2">
      <c r="A254" s="728" t="s">
        <v>491</v>
      </c>
      <c r="B254" s="729">
        <v>66371</v>
      </c>
      <c r="C254" s="729">
        <v>79414</v>
      </c>
      <c r="D254" s="729"/>
      <c r="E254" s="729"/>
      <c r="F254" s="729"/>
      <c r="G254" s="729"/>
      <c r="H254" s="729"/>
      <c r="I254" s="729"/>
      <c r="J254" s="729"/>
      <c r="K254" s="729"/>
      <c r="L254" s="729"/>
      <c r="M254" s="729"/>
      <c r="N254" s="729"/>
      <c r="O254" s="729"/>
      <c r="P254" s="729"/>
      <c r="Q254" s="729"/>
      <c r="R254" s="729"/>
      <c r="S254" s="729"/>
      <c r="T254" s="729"/>
      <c r="U254" s="729"/>
      <c r="V254" s="729"/>
      <c r="W254" s="729"/>
      <c r="X254" s="729"/>
      <c r="Y254" s="729"/>
      <c r="Z254" s="729"/>
      <c r="AA254" s="729"/>
      <c r="AB254" s="729"/>
      <c r="AC254" s="729"/>
      <c r="AD254" s="729"/>
      <c r="AE254" s="729"/>
      <c r="AF254" s="729"/>
      <c r="AG254" s="729"/>
    </row>
    <row r="255" spans="1:44" x14ac:dyDescent="0.2">
      <c r="A255" s="728" t="s">
        <v>341</v>
      </c>
      <c r="B255" s="729">
        <v>97938</v>
      </c>
      <c r="C255" s="729">
        <v>95647</v>
      </c>
      <c r="D255" s="729">
        <v>23527</v>
      </c>
      <c r="E255" s="729"/>
      <c r="F255" s="729"/>
      <c r="G255" s="729"/>
      <c r="H255" s="729"/>
      <c r="I255" s="729"/>
      <c r="J255" s="729"/>
      <c r="K255" s="729"/>
      <c r="L255" s="729"/>
      <c r="M255" s="729"/>
      <c r="N255" s="729"/>
      <c r="O255" s="729"/>
      <c r="P255" s="729"/>
      <c r="Q255" s="729"/>
      <c r="R255" s="729"/>
      <c r="S255" s="729"/>
      <c r="T255" s="729"/>
      <c r="U255" s="729"/>
      <c r="V255" s="729"/>
      <c r="W255" s="729"/>
      <c r="X255" s="729"/>
      <c r="Y255" s="729"/>
      <c r="Z255" s="729"/>
      <c r="AA255" s="729"/>
      <c r="AB255" s="729"/>
      <c r="AC255" s="729"/>
      <c r="AD255" s="729"/>
      <c r="AE255" s="729"/>
      <c r="AF255" s="729"/>
      <c r="AG255" s="729"/>
    </row>
    <row r="256" spans="1:44" ht="25.5" x14ac:dyDescent="0.2">
      <c r="A256" s="728" t="s">
        <v>492</v>
      </c>
      <c r="B256" s="729">
        <v>16409</v>
      </c>
      <c r="C256" s="729">
        <v>16105</v>
      </c>
      <c r="D256" s="729">
        <v>15802</v>
      </c>
      <c r="E256" s="729">
        <v>15500</v>
      </c>
      <c r="F256" s="729">
        <v>7597</v>
      </c>
      <c r="G256" s="729"/>
      <c r="H256" s="729"/>
      <c r="I256" s="729"/>
      <c r="J256" s="729"/>
      <c r="K256" s="729"/>
      <c r="L256" s="729"/>
      <c r="M256" s="729"/>
      <c r="N256" s="729"/>
      <c r="O256" s="729"/>
      <c r="P256" s="729"/>
      <c r="Q256" s="729"/>
      <c r="R256" s="729"/>
      <c r="S256" s="729"/>
      <c r="T256" s="729"/>
      <c r="U256" s="729"/>
      <c r="V256" s="729"/>
      <c r="W256" s="729"/>
      <c r="X256" s="729"/>
      <c r="Y256" s="729"/>
      <c r="Z256" s="729"/>
      <c r="AA256" s="729"/>
      <c r="AB256" s="729"/>
      <c r="AC256" s="729"/>
      <c r="AD256" s="729"/>
      <c r="AE256" s="729"/>
      <c r="AF256" s="729"/>
      <c r="AG256" s="729"/>
    </row>
    <row r="257" spans="1:33" x14ac:dyDescent="0.2">
      <c r="A257" s="728" t="s">
        <v>493</v>
      </c>
      <c r="B257" s="729">
        <v>33970</v>
      </c>
      <c r="C257" s="729">
        <v>33422</v>
      </c>
      <c r="D257" s="729">
        <v>32326</v>
      </c>
      <c r="E257" s="729">
        <v>31779</v>
      </c>
      <c r="F257" s="729">
        <v>31231</v>
      </c>
      <c r="G257" s="729">
        <v>30683</v>
      </c>
      <c r="H257" s="729">
        <v>30135</v>
      </c>
      <c r="I257" s="729">
        <v>26105.125</v>
      </c>
      <c r="J257" s="729">
        <v>26105.125</v>
      </c>
      <c r="K257" s="729">
        <v>26105.125</v>
      </c>
      <c r="L257" s="729">
        <v>26105.125</v>
      </c>
      <c r="M257" s="729">
        <v>26105.125</v>
      </c>
      <c r="N257" s="729">
        <v>26105.125</v>
      </c>
      <c r="O257" s="729">
        <v>26105.125</v>
      </c>
      <c r="P257" s="729">
        <v>26105.125</v>
      </c>
      <c r="Q257" s="729"/>
      <c r="R257" s="729"/>
      <c r="S257" s="729"/>
      <c r="T257" s="729"/>
      <c r="U257" s="729"/>
      <c r="V257" s="729"/>
      <c r="W257" s="729"/>
      <c r="X257" s="729"/>
      <c r="Y257" s="729"/>
      <c r="Z257" s="729"/>
      <c r="AA257" s="729"/>
      <c r="AB257" s="729"/>
      <c r="AC257" s="729"/>
      <c r="AD257" s="729"/>
      <c r="AE257" s="729"/>
      <c r="AF257" s="729"/>
      <c r="AG257" s="729"/>
    </row>
    <row r="258" spans="1:33" x14ac:dyDescent="0.2">
      <c r="A258" s="728" t="s">
        <v>494</v>
      </c>
      <c r="B258" s="729">
        <v>166194</v>
      </c>
      <c r="C258" s="729">
        <v>163186</v>
      </c>
      <c r="D258" s="729">
        <v>141774</v>
      </c>
      <c r="E258" s="729">
        <v>139122</v>
      </c>
      <c r="F258" s="729">
        <v>68401</v>
      </c>
      <c r="G258" s="729"/>
      <c r="H258" s="729"/>
      <c r="I258" s="729"/>
      <c r="J258" s="729"/>
      <c r="K258" s="729"/>
      <c r="L258" s="729"/>
      <c r="M258" s="729"/>
      <c r="N258" s="729"/>
      <c r="O258" s="729"/>
      <c r="P258" s="729"/>
      <c r="Q258" s="729"/>
      <c r="R258" s="729"/>
      <c r="S258" s="729"/>
      <c r="T258" s="729"/>
      <c r="U258" s="729"/>
      <c r="V258" s="729"/>
      <c r="W258" s="729"/>
      <c r="X258" s="729"/>
      <c r="Y258" s="729"/>
      <c r="Z258" s="729"/>
      <c r="AA258" s="729"/>
      <c r="AB258" s="729"/>
      <c r="AC258" s="729"/>
      <c r="AD258" s="729"/>
      <c r="AE258" s="729"/>
      <c r="AF258" s="729"/>
      <c r="AG258" s="729"/>
    </row>
    <row r="259" spans="1:33" ht="15" customHeight="1" x14ac:dyDescent="0.2">
      <c r="A259" s="728" t="s">
        <v>495</v>
      </c>
      <c r="B259" s="729">
        <v>43900</v>
      </c>
      <c r="C259" s="729">
        <v>43233</v>
      </c>
      <c r="D259" s="729">
        <v>42483</v>
      </c>
      <c r="E259" s="729">
        <v>41732</v>
      </c>
      <c r="F259" s="729">
        <v>20540</v>
      </c>
      <c r="G259" s="729"/>
      <c r="H259" s="729"/>
      <c r="I259" s="729"/>
      <c r="J259" s="729"/>
      <c r="K259" s="729"/>
      <c r="L259" s="729"/>
      <c r="M259" s="729"/>
      <c r="N259" s="729"/>
      <c r="O259" s="729"/>
      <c r="P259" s="729"/>
      <c r="Q259" s="729"/>
      <c r="R259" s="729"/>
      <c r="S259" s="729"/>
      <c r="T259" s="729"/>
      <c r="U259" s="729"/>
      <c r="V259" s="729"/>
      <c r="W259" s="729"/>
      <c r="X259" s="729"/>
      <c r="Y259" s="729"/>
      <c r="Z259" s="729"/>
      <c r="AA259" s="729"/>
      <c r="AB259" s="729"/>
      <c r="AC259" s="729"/>
      <c r="AD259" s="729"/>
      <c r="AE259" s="729"/>
      <c r="AF259" s="729"/>
      <c r="AG259" s="729"/>
    </row>
    <row r="260" spans="1:33" ht="25.5" x14ac:dyDescent="0.2">
      <c r="A260" s="728" t="s">
        <v>496</v>
      </c>
      <c r="B260" s="729">
        <v>19072</v>
      </c>
      <c r="C260" s="729">
        <v>18866</v>
      </c>
      <c r="D260" s="729">
        <v>18660</v>
      </c>
      <c r="E260" s="729">
        <v>18452</v>
      </c>
      <c r="F260" s="729">
        <v>18435</v>
      </c>
      <c r="G260" s="729">
        <v>9024</v>
      </c>
      <c r="H260" s="729"/>
      <c r="I260" s="729"/>
      <c r="J260" s="729"/>
      <c r="K260" s="729"/>
      <c r="L260" s="729"/>
      <c r="M260" s="729"/>
      <c r="N260" s="729"/>
      <c r="O260" s="729"/>
      <c r="P260" s="729"/>
      <c r="Q260" s="729"/>
      <c r="R260" s="729"/>
      <c r="S260" s="729"/>
      <c r="T260" s="729"/>
      <c r="U260" s="729"/>
      <c r="V260" s="729"/>
      <c r="W260" s="729"/>
      <c r="X260" s="729"/>
      <c r="Y260" s="729"/>
      <c r="Z260" s="729"/>
      <c r="AA260" s="729"/>
      <c r="AB260" s="729"/>
      <c r="AC260" s="729"/>
      <c r="AD260" s="729"/>
      <c r="AE260" s="729"/>
      <c r="AF260" s="729"/>
      <c r="AG260" s="729"/>
    </row>
    <row r="261" spans="1:33" ht="25.5" x14ac:dyDescent="0.2">
      <c r="A261" s="728" t="s">
        <v>497</v>
      </c>
      <c r="B261" s="729">
        <v>54472</v>
      </c>
      <c r="C261" s="729">
        <v>53881</v>
      </c>
      <c r="D261" s="729">
        <v>53291</v>
      </c>
      <c r="E261" s="729">
        <v>52702</v>
      </c>
      <c r="F261" s="729">
        <v>52111</v>
      </c>
      <c r="G261" s="729">
        <v>25787</v>
      </c>
      <c r="H261" s="729"/>
      <c r="I261" s="729"/>
      <c r="J261" s="729"/>
      <c r="K261" s="729"/>
      <c r="L261" s="729"/>
      <c r="M261" s="729"/>
      <c r="N261" s="729"/>
      <c r="O261" s="729"/>
      <c r="P261" s="729"/>
      <c r="Q261" s="729"/>
      <c r="R261" s="729"/>
      <c r="S261" s="729"/>
      <c r="T261" s="729"/>
      <c r="U261" s="729"/>
      <c r="V261" s="729"/>
      <c r="W261" s="729"/>
      <c r="X261" s="729"/>
      <c r="Y261" s="729"/>
      <c r="Z261" s="729"/>
      <c r="AA261" s="729"/>
      <c r="AB261" s="729"/>
      <c r="AC261" s="729"/>
      <c r="AD261" s="729"/>
      <c r="AE261" s="729"/>
      <c r="AF261" s="729"/>
      <c r="AG261" s="729"/>
    </row>
    <row r="262" spans="1:33" x14ac:dyDescent="0.2">
      <c r="A262" s="728" t="s">
        <v>498</v>
      </c>
      <c r="B262" s="729">
        <v>9720</v>
      </c>
      <c r="C262" s="729">
        <v>9637</v>
      </c>
      <c r="D262" s="729">
        <v>9553</v>
      </c>
      <c r="E262" s="729">
        <v>9471</v>
      </c>
      <c r="F262" s="729">
        <v>9388</v>
      </c>
      <c r="G262" s="729">
        <v>2280</v>
      </c>
      <c r="H262" s="729"/>
      <c r="I262" s="729"/>
      <c r="J262" s="729"/>
      <c r="K262" s="729"/>
      <c r="L262" s="729"/>
      <c r="M262" s="729"/>
      <c r="N262" s="729"/>
      <c r="O262" s="729"/>
      <c r="P262" s="729"/>
      <c r="Q262" s="729"/>
      <c r="R262" s="729"/>
      <c r="S262" s="729"/>
      <c r="T262" s="729"/>
      <c r="U262" s="729"/>
      <c r="V262" s="729"/>
      <c r="W262" s="729"/>
      <c r="X262" s="729"/>
      <c r="Y262" s="729"/>
      <c r="Z262" s="729"/>
      <c r="AA262" s="729"/>
      <c r="AB262" s="729"/>
      <c r="AC262" s="729"/>
      <c r="AD262" s="729"/>
      <c r="AE262" s="729"/>
      <c r="AF262" s="729"/>
      <c r="AG262" s="729"/>
    </row>
    <row r="263" spans="1:33" ht="25.5" x14ac:dyDescent="0.2">
      <c r="A263" s="728" t="s">
        <v>499</v>
      </c>
      <c r="B263" s="729">
        <v>14842</v>
      </c>
      <c r="C263" s="729">
        <v>14717</v>
      </c>
      <c r="D263" s="729">
        <v>14590</v>
      </c>
      <c r="E263" s="729">
        <v>14461</v>
      </c>
      <c r="F263" s="729">
        <v>14330</v>
      </c>
      <c r="G263" s="729">
        <v>7103</v>
      </c>
      <c r="H263" s="729"/>
      <c r="I263" s="729"/>
      <c r="J263" s="729"/>
      <c r="K263" s="729"/>
      <c r="L263" s="729"/>
      <c r="M263" s="729"/>
      <c r="N263" s="729"/>
      <c r="O263" s="729"/>
      <c r="P263" s="729"/>
      <c r="Q263" s="729"/>
      <c r="R263" s="729"/>
      <c r="S263" s="729"/>
      <c r="T263" s="729"/>
      <c r="U263" s="729"/>
      <c r="V263" s="729"/>
      <c r="W263" s="729"/>
      <c r="X263" s="729"/>
      <c r="Y263" s="729"/>
      <c r="Z263" s="729"/>
      <c r="AA263" s="729"/>
      <c r="AB263" s="729"/>
      <c r="AC263" s="729"/>
      <c r="AD263" s="729"/>
      <c r="AE263" s="729"/>
      <c r="AF263" s="729"/>
      <c r="AG263" s="729"/>
    </row>
    <row r="264" spans="1:33" ht="25.5" x14ac:dyDescent="0.2">
      <c r="A264" s="728" t="s">
        <v>500</v>
      </c>
      <c r="B264" s="729">
        <v>10410</v>
      </c>
      <c r="C264" s="729">
        <v>10329</v>
      </c>
      <c r="D264" s="729">
        <v>10246</v>
      </c>
      <c r="E264" s="729">
        <v>10162</v>
      </c>
      <c r="F264" s="729">
        <v>10077</v>
      </c>
      <c r="G264" s="729">
        <v>9991</v>
      </c>
      <c r="H264" s="729">
        <v>9905</v>
      </c>
      <c r="I264" s="729">
        <v>9501.1111111111113</v>
      </c>
      <c r="J264" s="729">
        <v>9501.1111111111113</v>
      </c>
      <c r="K264" s="729">
        <v>9501.1111111111113</v>
      </c>
      <c r="L264" s="729">
        <v>9501.1111111111113</v>
      </c>
      <c r="M264" s="729">
        <v>9501.1111111111113</v>
      </c>
      <c r="N264" s="729">
        <v>9501.1111111111113</v>
      </c>
      <c r="O264" s="729">
        <v>9501.1111111111113</v>
      </c>
      <c r="P264" s="729">
        <v>9501.1111111111113</v>
      </c>
      <c r="Q264" s="729">
        <v>9501.1111111111113</v>
      </c>
      <c r="R264" s="729"/>
      <c r="S264" s="729"/>
      <c r="T264" s="729"/>
      <c r="U264" s="729"/>
      <c r="V264" s="729"/>
      <c r="W264" s="729"/>
      <c r="X264" s="729"/>
      <c r="Y264" s="729"/>
      <c r="Z264" s="729"/>
      <c r="AA264" s="729"/>
      <c r="AB264" s="729"/>
      <c r="AC264" s="729"/>
      <c r="AD264" s="729"/>
      <c r="AE264" s="729"/>
      <c r="AF264" s="729"/>
      <c r="AG264" s="729"/>
    </row>
    <row r="265" spans="1:33" ht="25.5" x14ac:dyDescent="0.2">
      <c r="A265" s="728" t="s">
        <v>501</v>
      </c>
      <c r="B265" s="729">
        <v>10149</v>
      </c>
      <c r="C265" s="729">
        <v>10095</v>
      </c>
      <c r="D265" s="729">
        <v>10041</v>
      </c>
      <c r="E265" s="729">
        <v>9988</v>
      </c>
      <c r="F265" s="729">
        <v>9934</v>
      </c>
      <c r="G265" s="729">
        <v>9880</v>
      </c>
      <c r="H265" s="729">
        <v>4925</v>
      </c>
      <c r="I265" s="729"/>
      <c r="J265" s="729"/>
      <c r="K265" s="729"/>
      <c r="L265" s="729"/>
      <c r="M265" s="729"/>
      <c r="N265" s="729"/>
      <c r="O265" s="729"/>
      <c r="P265" s="729"/>
      <c r="Q265" s="729"/>
      <c r="R265" s="729"/>
      <c r="S265" s="729"/>
      <c r="T265" s="729"/>
      <c r="U265" s="729"/>
      <c r="V265" s="729"/>
      <c r="W265" s="729"/>
      <c r="X265" s="729"/>
      <c r="Y265" s="729"/>
      <c r="Z265" s="729"/>
      <c r="AA265" s="729"/>
      <c r="AB265" s="729"/>
      <c r="AC265" s="729"/>
      <c r="AD265" s="729"/>
      <c r="AE265" s="729"/>
      <c r="AF265" s="729"/>
      <c r="AG265" s="729"/>
    </row>
    <row r="266" spans="1:33" ht="25.5" x14ac:dyDescent="0.2">
      <c r="A266" s="728" t="s">
        <v>502</v>
      </c>
      <c r="B266" s="729">
        <v>98670</v>
      </c>
      <c r="C266" s="729">
        <v>98172</v>
      </c>
      <c r="D266" s="729">
        <v>97673</v>
      </c>
      <c r="E266" s="729">
        <v>97175</v>
      </c>
      <c r="F266" s="729">
        <v>96177</v>
      </c>
      <c r="G266" s="729">
        <v>95679</v>
      </c>
      <c r="H266" s="729">
        <v>95181</v>
      </c>
      <c r="I266" s="729">
        <v>88555.5</v>
      </c>
      <c r="J266" s="729">
        <v>88555.5</v>
      </c>
      <c r="K266" s="729">
        <v>88555.5</v>
      </c>
      <c r="L266" s="729">
        <v>88555.5</v>
      </c>
      <c r="M266" s="729">
        <v>88555.5</v>
      </c>
      <c r="N266" s="729">
        <v>88555.5</v>
      </c>
      <c r="O266" s="729">
        <v>88555.5</v>
      </c>
      <c r="P266" s="729">
        <v>88555.5</v>
      </c>
      <c r="Q266" s="729">
        <v>88555.5</v>
      </c>
      <c r="R266" s="729">
        <v>88555.5</v>
      </c>
      <c r="S266" s="729"/>
      <c r="T266" s="729"/>
      <c r="U266" s="729"/>
      <c r="V266" s="729"/>
      <c r="W266" s="729"/>
      <c r="X266" s="729"/>
      <c r="Y266" s="729"/>
      <c r="Z266" s="729"/>
      <c r="AA266" s="729"/>
      <c r="AB266" s="729"/>
      <c r="AC266" s="729"/>
      <c r="AD266" s="729"/>
      <c r="AE266" s="729"/>
      <c r="AF266" s="729"/>
      <c r="AG266" s="729"/>
    </row>
    <row r="267" spans="1:33" ht="25.5" x14ac:dyDescent="0.2">
      <c r="A267" s="728" t="s">
        <v>503</v>
      </c>
      <c r="B267" s="729">
        <v>36673</v>
      </c>
      <c r="C267" s="729">
        <v>36487</v>
      </c>
      <c r="D267" s="729">
        <v>36302</v>
      </c>
      <c r="E267" s="729">
        <v>36117</v>
      </c>
      <c r="F267" s="729">
        <v>35732</v>
      </c>
      <c r="G267" s="729">
        <v>35745</v>
      </c>
      <c r="H267" s="729">
        <v>35560</v>
      </c>
      <c r="I267" s="729">
        <v>32878</v>
      </c>
      <c r="J267" s="729">
        <v>32878</v>
      </c>
      <c r="K267" s="729">
        <v>32878</v>
      </c>
      <c r="L267" s="729">
        <v>32878</v>
      </c>
      <c r="M267" s="729">
        <v>32878</v>
      </c>
      <c r="N267" s="729">
        <v>32878</v>
      </c>
      <c r="O267" s="729">
        <v>32878</v>
      </c>
      <c r="P267" s="729">
        <v>32878</v>
      </c>
      <c r="Q267" s="729">
        <v>32878</v>
      </c>
      <c r="R267" s="729">
        <v>32878</v>
      </c>
      <c r="S267" s="729"/>
      <c r="T267" s="729"/>
      <c r="U267" s="729"/>
      <c r="V267" s="729"/>
      <c r="W267" s="729"/>
      <c r="X267" s="729"/>
      <c r="Y267" s="729"/>
      <c r="Z267" s="729"/>
      <c r="AA267" s="729"/>
      <c r="AB267" s="729"/>
      <c r="AC267" s="729"/>
      <c r="AD267" s="729"/>
      <c r="AE267" s="729"/>
      <c r="AF267" s="729"/>
      <c r="AG267" s="729"/>
    </row>
    <row r="268" spans="1:33" ht="25.5" x14ac:dyDescent="0.2">
      <c r="A268" s="728" t="s">
        <v>504</v>
      </c>
      <c r="B268" s="729">
        <v>20977</v>
      </c>
      <c r="C268" s="729">
        <v>20866</v>
      </c>
      <c r="D268" s="729">
        <v>20755</v>
      </c>
      <c r="E268" s="729">
        <v>20645</v>
      </c>
      <c r="F268" s="729">
        <v>20422</v>
      </c>
      <c r="G268" s="729">
        <v>35775</v>
      </c>
      <c r="H268" s="729"/>
      <c r="I268" s="729"/>
      <c r="J268" s="729"/>
      <c r="K268" s="729"/>
      <c r="L268" s="729"/>
      <c r="M268" s="729"/>
      <c r="N268" s="729"/>
      <c r="O268" s="729"/>
      <c r="P268" s="729"/>
      <c r="Q268" s="729"/>
      <c r="R268" s="729"/>
      <c r="S268" s="729"/>
      <c r="T268" s="729"/>
      <c r="U268" s="729"/>
      <c r="V268" s="729"/>
      <c r="W268" s="729"/>
      <c r="X268" s="729"/>
      <c r="Y268" s="729"/>
      <c r="Z268" s="729"/>
      <c r="AA268" s="729"/>
      <c r="AB268" s="729"/>
      <c r="AC268" s="729"/>
      <c r="AD268" s="729"/>
      <c r="AE268" s="729"/>
      <c r="AF268" s="729"/>
      <c r="AG268" s="729"/>
    </row>
    <row r="269" spans="1:33" ht="25.5" x14ac:dyDescent="0.2">
      <c r="A269" s="728" t="s">
        <v>505</v>
      </c>
      <c r="B269" s="729">
        <v>11101</v>
      </c>
      <c r="C269" s="729">
        <v>11046</v>
      </c>
      <c r="D269" s="729">
        <v>10990</v>
      </c>
      <c r="E269" s="729">
        <v>10934</v>
      </c>
      <c r="F269" s="729">
        <v>10822</v>
      </c>
      <c r="G269" s="729">
        <v>10766</v>
      </c>
      <c r="H269" s="729">
        <v>10710</v>
      </c>
      <c r="I269" s="729">
        <v>9960.7000000000007</v>
      </c>
      <c r="J269" s="729">
        <v>9960.7000000000007</v>
      </c>
      <c r="K269" s="729">
        <v>9960.7000000000007</v>
      </c>
      <c r="L269" s="729">
        <v>9960.7000000000007</v>
      </c>
      <c r="M269" s="729">
        <v>9960.7000000000007</v>
      </c>
      <c r="N269" s="729">
        <v>9960.7000000000007</v>
      </c>
      <c r="O269" s="729">
        <v>9960.7000000000007</v>
      </c>
      <c r="P269" s="729">
        <v>9960.7000000000007</v>
      </c>
      <c r="Q269" s="729">
        <v>9960.7000000000007</v>
      </c>
      <c r="R269" s="729">
        <v>9960.7000000000007</v>
      </c>
      <c r="S269" s="729"/>
      <c r="T269" s="729"/>
      <c r="U269" s="729"/>
      <c r="V269" s="729"/>
      <c r="W269" s="729"/>
      <c r="X269" s="729"/>
      <c r="Y269" s="729"/>
      <c r="Z269" s="729"/>
      <c r="AA269" s="729"/>
      <c r="AB269" s="729"/>
      <c r="AC269" s="729"/>
      <c r="AD269" s="729"/>
      <c r="AE269" s="729"/>
      <c r="AF269" s="729"/>
      <c r="AG269" s="729"/>
    </row>
    <row r="270" spans="1:33" ht="25.5" x14ac:dyDescent="0.2">
      <c r="A270" s="728" t="s">
        <v>506</v>
      </c>
      <c r="B270" s="729">
        <v>27480</v>
      </c>
      <c r="C270" s="729">
        <v>27332</v>
      </c>
      <c r="D270" s="729">
        <v>27184</v>
      </c>
      <c r="E270" s="729"/>
      <c r="F270" s="729"/>
      <c r="G270" s="729"/>
      <c r="H270" s="729"/>
      <c r="I270" s="729"/>
      <c r="J270" s="729"/>
      <c r="K270" s="729"/>
      <c r="L270" s="729"/>
      <c r="M270" s="729"/>
      <c r="N270" s="729"/>
      <c r="O270" s="729"/>
      <c r="P270" s="729"/>
      <c r="Q270" s="729"/>
      <c r="R270" s="729"/>
      <c r="S270" s="729"/>
      <c r="T270" s="729"/>
      <c r="U270" s="729"/>
      <c r="V270" s="729"/>
      <c r="W270" s="729"/>
      <c r="X270" s="729"/>
      <c r="Y270" s="729"/>
      <c r="Z270" s="729"/>
      <c r="AA270" s="729"/>
      <c r="AB270" s="729"/>
      <c r="AC270" s="729"/>
      <c r="AD270" s="729"/>
      <c r="AE270" s="729"/>
      <c r="AF270" s="729"/>
      <c r="AG270" s="729"/>
    </row>
    <row r="271" spans="1:33" ht="76.5" x14ac:dyDescent="0.2">
      <c r="A271" s="728" t="s">
        <v>507</v>
      </c>
      <c r="B271" s="729">
        <v>9714</v>
      </c>
      <c r="C271" s="729">
        <v>9347</v>
      </c>
      <c r="D271" s="729">
        <v>8980</v>
      </c>
      <c r="E271" s="729">
        <v>8614</v>
      </c>
      <c r="F271" s="729">
        <v>8246</v>
      </c>
      <c r="G271" s="729">
        <v>7880</v>
      </c>
      <c r="H271" s="729">
        <v>7544</v>
      </c>
      <c r="I271" s="729">
        <v>6769.666666666667</v>
      </c>
      <c r="J271" s="729">
        <v>6769.666666666667</v>
      </c>
      <c r="K271" s="729">
        <v>6769.666666666667</v>
      </c>
      <c r="L271" s="729"/>
      <c r="M271" s="729"/>
      <c r="N271" s="729"/>
      <c r="O271" s="729"/>
      <c r="P271" s="729"/>
      <c r="Q271" s="729"/>
      <c r="R271" s="729"/>
      <c r="S271" s="729"/>
      <c r="T271" s="729"/>
      <c r="U271" s="729"/>
      <c r="V271" s="729"/>
      <c r="W271" s="729"/>
      <c r="X271" s="729"/>
      <c r="Y271" s="729"/>
      <c r="Z271" s="729"/>
      <c r="AA271" s="729"/>
      <c r="AB271" s="729"/>
      <c r="AC271" s="729"/>
      <c r="AD271" s="729"/>
      <c r="AE271" s="729"/>
      <c r="AF271" s="729"/>
      <c r="AG271" s="729"/>
    </row>
    <row r="272" spans="1:33" ht="25.5" x14ac:dyDescent="0.2">
      <c r="A272" s="728" t="s">
        <v>508</v>
      </c>
      <c r="B272" s="729">
        <v>48989</v>
      </c>
      <c r="C272" s="729">
        <v>14243</v>
      </c>
      <c r="D272" s="729"/>
      <c r="E272" s="729"/>
      <c r="F272" s="729"/>
      <c r="G272" s="729"/>
      <c r="H272" s="729"/>
      <c r="I272" s="729"/>
      <c r="J272" s="729"/>
      <c r="K272" s="729"/>
      <c r="L272" s="729"/>
      <c r="M272" s="729"/>
      <c r="N272" s="729"/>
      <c r="O272" s="729"/>
      <c r="P272" s="729"/>
      <c r="Q272" s="729"/>
      <c r="R272" s="729"/>
      <c r="S272" s="729"/>
      <c r="T272" s="729"/>
      <c r="U272" s="729"/>
      <c r="V272" s="729"/>
      <c r="W272" s="729"/>
      <c r="X272" s="729"/>
      <c r="Y272" s="729"/>
      <c r="Z272" s="729"/>
      <c r="AA272" s="729"/>
      <c r="AB272" s="729"/>
      <c r="AC272" s="729"/>
      <c r="AD272" s="729"/>
      <c r="AE272" s="729"/>
      <c r="AF272" s="729"/>
      <c r="AG272" s="729"/>
    </row>
    <row r="273" spans="1:33" ht="25.5" x14ac:dyDescent="0.2">
      <c r="A273" s="728" t="s">
        <v>509</v>
      </c>
      <c r="B273" s="729">
        <v>11260</v>
      </c>
      <c r="C273" s="729">
        <v>21999</v>
      </c>
      <c r="D273" s="729">
        <v>21946</v>
      </c>
      <c r="E273" s="729">
        <v>21892</v>
      </c>
      <c r="F273" s="729">
        <v>21838</v>
      </c>
      <c r="G273" s="729">
        <v>21784</v>
      </c>
      <c r="H273" s="729">
        <v>21730</v>
      </c>
      <c r="I273" s="729">
        <v>13326.2</v>
      </c>
      <c r="J273" s="729">
        <v>13326.2</v>
      </c>
      <c r="K273" s="729">
        <v>13326.2</v>
      </c>
      <c r="L273" s="729">
        <v>13326.2</v>
      </c>
      <c r="M273" s="729">
        <v>13326.2</v>
      </c>
      <c r="N273" s="729"/>
      <c r="O273" s="729"/>
      <c r="P273" s="729"/>
      <c r="Q273" s="729"/>
      <c r="R273" s="729"/>
      <c r="S273" s="729"/>
      <c r="T273" s="729"/>
      <c r="U273" s="729"/>
      <c r="V273" s="729"/>
      <c r="W273" s="729"/>
      <c r="X273" s="729"/>
      <c r="Y273" s="729"/>
      <c r="Z273" s="729"/>
      <c r="AA273" s="729"/>
      <c r="AB273" s="729"/>
      <c r="AC273" s="729"/>
      <c r="AD273" s="729"/>
      <c r="AE273" s="729"/>
      <c r="AF273" s="729"/>
      <c r="AG273" s="729"/>
    </row>
    <row r="274" spans="1:33" ht="25.5" x14ac:dyDescent="0.2">
      <c r="A274" s="728" t="s">
        <v>510</v>
      </c>
      <c r="B274" s="729">
        <v>40233</v>
      </c>
      <c r="C274" s="729">
        <v>40067</v>
      </c>
      <c r="D274" s="729">
        <v>39900</v>
      </c>
      <c r="E274" s="729">
        <v>39734</v>
      </c>
      <c r="F274" s="729">
        <v>39567</v>
      </c>
      <c r="G274" s="729">
        <v>39400</v>
      </c>
      <c r="H274" s="729">
        <v>39234</v>
      </c>
      <c r="I274" s="729">
        <v>35685.454545454544</v>
      </c>
      <c r="J274" s="729">
        <v>35685.454545454544</v>
      </c>
      <c r="K274" s="729">
        <v>35685.454545454544</v>
      </c>
      <c r="L274" s="729">
        <v>35685.454545454544</v>
      </c>
      <c r="M274" s="729">
        <v>35685.454545454544</v>
      </c>
      <c r="N274" s="729">
        <v>35685.454545454544</v>
      </c>
      <c r="O274" s="729">
        <v>35685.454545454544</v>
      </c>
      <c r="P274" s="729">
        <v>35685.454545454544</v>
      </c>
      <c r="Q274" s="729">
        <v>35685.454545454544</v>
      </c>
      <c r="R274" s="729">
        <v>35685.454545454544</v>
      </c>
      <c r="S274" s="729">
        <v>35685.454545454544</v>
      </c>
      <c r="T274" s="729"/>
      <c r="U274" s="729"/>
      <c r="V274" s="729"/>
      <c r="W274" s="729"/>
      <c r="X274" s="729"/>
      <c r="Y274" s="729"/>
      <c r="Z274" s="729"/>
      <c r="AA274" s="729"/>
      <c r="AB274" s="729"/>
      <c r="AC274" s="729"/>
      <c r="AD274" s="729"/>
      <c r="AE274" s="729"/>
      <c r="AF274" s="729"/>
      <c r="AG274" s="729"/>
    </row>
    <row r="275" spans="1:33" ht="25.5" x14ac:dyDescent="0.2">
      <c r="A275" s="728" t="s">
        <v>511</v>
      </c>
      <c r="B275" s="729">
        <v>9174</v>
      </c>
      <c r="C275" s="729">
        <v>9145</v>
      </c>
      <c r="D275" s="729">
        <v>9116</v>
      </c>
      <c r="E275" s="729">
        <v>9088</v>
      </c>
      <c r="F275" s="729"/>
      <c r="G275" s="729"/>
      <c r="H275" s="729"/>
      <c r="I275" s="729"/>
      <c r="J275" s="729"/>
      <c r="K275" s="729"/>
      <c r="L275" s="729"/>
      <c r="M275" s="729"/>
      <c r="N275" s="729"/>
      <c r="O275" s="729"/>
      <c r="P275" s="729"/>
      <c r="Q275" s="729"/>
      <c r="R275" s="729"/>
      <c r="S275" s="729"/>
      <c r="T275" s="729"/>
      <c r="U275" s="729"/>
      <c r="V275" s="729"/>
      <c r="W275" s="729"/>
      <c r="X275" s="729"/>
      <c r="Y275" s="729"/>
      <c r="Z275" s="729"/>
      <c r="AA275" s="729"/>
      <c r="AB275" s="729"/>
      <c r="AC275" s="729"/>
      <c r="AD275" s="729"/>
      <c r="AE275" s="729"/>
      <c r="AF275" s="729"/>
      <c r="AG275" s="729"/>
    </row>
    <row r="276" spans="1:33" ht="25.5" x14ac:dyDescent="0.2">
      <c r="A276" s="728" t="s">
        <v>512</v>
      </c>
      <c r="B276" s="729">
        <v>5891</v>
      </c>
      <c r="C276" s="729">
        <v>5872</v>
      </c>
      <c r="D276" s="729">
        <v>5853</v>
      </c>
      <c r="E276" s="729">
        <v>5834</v>
      </c>
      <c r="F276" s="729">
        <v>5816</v>
      </c>
      <c r="G276" s="729">
        <v>5797</v>
      </c>
      <c r="H276" s="729">
        <v>5778</v>
      </c>
      <c r="I276" s="729">
        <v>5424.666666666667</v>
      </c>
      <c r="J276" s="729">
        <v>5424.666666666667</v>
      </c>
      <c r="K276" s="729">
        <v>5424.666666666667</v>
      </c>
      <c r="L276" s="729">
        <v>5424.666666666667</v>
      </c>
      <c r="M276" s="729">
        <v>5424.666666666667</v>
      </c>
      <c r="N276" s="729">
        <v>5424.666666666667</v>
      </c>
      <c r="O276" s="729">
        <v>5424.666666666667</v>
      </c>
      <c r="P276" s="729">
        <v>5424.666666666667</v>
      </c>
      <c r="Q276" s="729">
        <v>5424.666666666667</v>
      </c>
      <c r="R276" s="729">
        <v>5424.666666666667</v>
      </c>
      <c r="S276" s="729">
        <v>5424.666666666667</v>
      </c>
      <c r="T276" s="729">
        <v>5424.666666666667</v>
      </c>
      <c r="U276" s="729"/>
      <c r="V276" s="729"/>
      <c r="W276" s="729"/>
      <c r="X276" s="729"/>
      <c r="Y276" s="729"/>
      <c r="Z276" s="729"/>
      <c r="AA276" s="729"/>
      <c r="AB276" s="729"/>
      <c r="AC276" s="729"/>
      <c r="AD276" s="729"/>
      <c r="AE276" s="729"/>
      <c r="AF276" s="729"/>
      <c r="AG276" s="729"/>
    </row>
    <row r="277" spans="1:33" ht="38.25" x14ac:dyDescent="0.2">
      <c r="A277" s="728" t="s">
        <v>513</v>
      </c>
      <c r="B277" s="729">
        <v>2421</v>
      </c>
      <c r="C277" s="729">
        <v>2413</v>
      </c>
      <c r="D277" s="729">
        <v>2407</v>
      </c>
      <c r="E277" s="729">
        <v>2400</v>
      </c>
      <c r="F277" s="729">
        <v>2392</v>
      </c>
      <c r="G277" s="729">
        <v>2385</v>
      </c>
      <c r="H277" s="729">
        <v>2378</v>
      </c>
      <c r="I277" s="729">
        <v>2236.3333333333335</v>
      </c>
      <c r="J277" s="729">
        <v>2236.3333333333335</v>
      </c>
      <c r="K277" s="729">
        <v>2236.3333333333335</v>
      </c>
      <c r="L277" s="729">
        <v>2236.3333333333335</v>
      </c>
      <c r="M277" s="729">
        <v>2236.3333333333335</v>
      </c>
      <c r="N277" s="729">
        <v>2236.3333333333335</v>
      </c>
      <c r="O277" s="729">
        <v>2236.3333333333335</v>
      </c>
      <c r="P277" s="729">
        <v>2236.3333333333335</v>
      </c>
      <c r="Q277" s="729">
        <v>2236.3333333333335</v>
      </c>
      <c r="R277" s="729">
        <v>2236.3333333333335</v>
      </c>
      <c r="S277" s="729">
        <v>2236.3333333333335</v>
      </c>
      <c r="T277" s="729">
        <v>2236.3333333333335</v>
      </c>
      <c r="U277" s="729"/>
      <c r="V277" s="729"/>
      <c r="W277" s="729"/>
      <c r="X277" s="729"/>
      <c r="Y277" s="729"/>
      <c r="Z277" s="729"/>
      <c r="AA277" s="729"/>
      <c r="AB277" s="729"/>
      <c r="AC277" s="729"/>
      <c r="AD277" s="729"/>
      <c r="AE277" s="729"/>
      <c r="AF277" s="729"/>
      <c r="AG277" s="729"/>
    </row>
    <row r="278" spans="1:33" ht="25.5" x14ac:dyDescent="0.2">
      <c r="A278" s="728" t="s">
        <v>514</v>
      </c>
      <c r="B278" s="729">
        <v>12622</v>
      </c>
      <c r="C278" s="729">
        <v>12582</v>
      </c>
      <c r="D278" s="729">
        <v>12542</v>
      </c>
      <c r="E278" s="729">
        <v>12502</v>
      </c>
      <c r="F278" s="729">
        <v>12461</v>
      </c>
      <c r="G278" s="729">
        <v>12421</v>
      </c>
      <c r="H278" s="729">
        <v>12382</v>
      </c>
      <c r="I278" s="729">
        <v>6175</v>
      </c>
      <c r="J278" s="729"/>
      <c r="K278" s="729"/>
      <c r="L278" s="729"/>
      <c r="M278" s="729"/>
      <c r="N278" s="729"/>
      <c r="O278" s="729"/>
      <c r="P278" s="729"/>
      <c r="Q278" s="729"/>
      <c r="R278" s="729"/>
      <c r="S278" s="729"/>
      <c r="T278" s="729"/>
      <c r="U278" s="729"/>
      <c r="V278" s="729"/>
      <c r="W278" s="729"/>
      <c r="X278" s="729"/>
      <c r="Y278" s="729"/>
      <c r="Z278" s="729"/>
      <c r="AA278" s="729"/>
      <c r="AB278" s="729"/>
      <c r="AC278" s="729"/>
      <c r="AD278" s="729"/>
      <c r="AE278" s="729"/>
      <c r="AF278" s="729"/>
      <c r="AG278" s="729"/>
    </row>
    <row r="279" spans="1:33" ht="25.5" x14ac:dyDescent="0.2">
      <c r="A279" s="728" t="s">
        <v>515</v>
      </c>
      <c r="B279" s="729">
        <v>8960</v>
      </c>
      <c r="C279" s="729">
        <v>8933</v>
      </c>
      <c r="D279" s="729">
        <v>8906</v>
      </c>
      <c r="E279" s="729">
        <v>8879</v>
      </c>
      <c r="F279" s="729">
        <v>8851</v>
      </c>
      <c r="G279" s="729">
        <v>8825</v>
      </c>
      <c r="H279" s="729">
        <v>8798</v>
      </c>
      <c r="I279" s="729">
        <v>7665</v>
      </c>
      <c r="J279" s="729">
        <v>7665</v>
      </c>
      <c r="K279" s="729"/>
      <c r="L279" s="729"/>
      <c r="M279" s="729"/>
      <c r="N279" s="729"/>
      <c r="O279" s="729"/>
      <c r="P279" s="729"/>
      <c r="Q279" s="729"/>
      <c r="R279" s="729"/>
      <c r="S279" s="729"/>
      <c r="T279" s="729"/>
      <c r="U279" s="729"/>
      <c r="V279" s="729"/>
      <c r="W279" s="729"/>
      <c r="X279" s="729"/>
      <c r="Y279" s="729"/>
      <c r="Z279" s="729"/>
      <c r="AA279" s="729"/>
      <c r="AB279" s="729"/>
      <c r="AC279" s="729"/>
      <c r="AD279" s="729"/>
      <c r="AE279" s="729"/>
      <c r="AF279" s="729"/>
      <c r="AG279" s="729"/>
    </row>
    <row r="280" spans="1:33" ht="38.25" x14ac:dyDescent="0.2">
      <c r="A280" s="728" t="s">
        <v>516</v>
      </c>
      <c r="B280" s="729">
        <v>6702</v>
      </c>
      <c r="C280" s="729">
        <v>6675</v>
      </c>
      <c r="D280" s="729">
        <v>6649</v>
      </c>
      <c r="E280" s="729">
        <v>6623</v>
      </c>
      <c r="F280" s="729">
        <v>6597</v>
      </c>
      <c r="G280" s="729">
        <v>6570</v>
      </c>
      <c r="H280" s="729">
        <v>6544</v>
      </c>
      <c r="I280" s="729">
        <v>15561</v>
      </c>
      <c r="J280" s="729">
        <v>15561</v>
      </c>
      <c r="K280" s="729"/>
      <c r="L280" s="729"/>
      <c r="M280" s="729"/>
      <c r="N280" s="729"/>
      <c r="O280" s="729"/>
      <c r="P280" s="729"/>
      <c r="Q280" s="729"/>
      <c r="R280" s="729"/>
      <c r="S280" s="729"/>
      <c r="T280" s="729"/>
      <c r="U280" s="729"/>
      <c r="V280" s="729"/>
      <c r="W280" s="729"/>
      <c r="X280" s="729"/>
      <c r="Y280" s="729"/>
      <c r="Z280" s="729"/>
      <c r="AA280" s="729"/>
      <c r="AB280" s="729"/>
      <c r="AC280" s="729"/>
      <c r="AD280" s="729"/>
      <c r="AE280" s="729"/>
      <c r="AF280" s="729"/>
      <c r="AG280" s="729"/>
    </row>
    <row r="281" spans="1:33" ht="38.25" x14ac:dyDescent="0.2">
      <c r="A281" s="728" t="s">
        <v>517</v>
      </c>
      <c r="B281" s="729">
        <v>18623</v>
      </c>
      <c r="C281" s="729">
        <v>18549</v>
      </c>
      <c r="D281" s="729">
        <v>13861</v>
      </c>
      <c r="E281" s="729"/>
      <c r="F281" s="729"/>
      <c r="G281" s="729"/>
      <c r="H281" s="729"/>
      <c r="I281" s="729"/>
      <c r="J281" s="729"/>
      <c r="K281" s="729"/>
      <c r="L281" s="729"/>
      <c r="M281" s="729"/>
      <c r="N281" s="729"/>
      <c r="O281" s="729"/>
      <c r="P281" s="729"/>
      <c r="Q281" s="729"/>
      <c r="R281" s="729"/>
      <c r="S281" s="729"/>
      <c r="T281" s="729"/>
      <c r="U281" s="729"/>
      <c r="V281" s="729"/>
      <c r="W281" s="729"/>
      <c r="X281" s="729"/>
      <c r="Y281" s="729"/>
      <c r="Z281" s="729"/>
      <c r="AA281" s="729"/>
      <c r="AB281" s="729"/>
      <c r="AC281" s="729"/>
      <c r="AD281" s="729"/>
      <c r="AE281" s="729"/>
      <c r="AF281" s="729"/>
      <c r="AG281" s="729"/>
    </row>
    <row r="282" spans="1:33" ht="25.5" x14ac:dyDescent="0.2">
      <c r="A282" s="728" t="s">
        <v>518</v>
      </c>
      <c r="B282" s="729">
        <v>6420</v>
      </c>
      <c r="C282" s="729">
        <v>6397</v>
      </c>
      <c r="D282" s="729">
        <v>6375</v>
      </c>
      <c r="E282" s="729">
        <v>6352</v>
      </c>
      <c r="F282" s="729">
        <v>6329</v>
      </c>
      <c r="G282" s="729">
        <v>6307</v>
      </c>
      <c r="H282" s="729">
        <v>6284</v>
      </c>
      <c r="I282" s="729">
        <v>5470.5</v>
      </c>
      <c r="J282" s="729">
        <v>5470.5</v>
      </c>
      <c r="K282" s="729"/>
      <c r="L282" s="729"/>
      <c r="M282" s="729"/>
      <c r="N282" s="729"/>
      <c r="O282" s="729"/>
      <c r="P282" s="729"/>
      <c r="Q282" s="729"/>
      <c r="R282" s="729"/>
      <c r="S282" s="729"/>
      <c r="T282" s="729"/>
      <c r="U282" s="729"/>
      <c r="V282" s="729"/>
      <c r="W282" s="729"/>
      <c r="X282" s="729"/>
      <c r="Y282" s="729"/>
      <c r="Z282" s="729"/>
      <c r="AA282" s="729"/>
      <c r="AB282" s="729"/>
      <c r="AC282" s="729"/>
      <c r="AD282" s="729"/>
      <c r="AE282" s="729"/>
      <c r="AF282" s="729"/>
      <c r="AG282" s="729"/>
    </row>
    <row r="283" spans="1:33" ht="25.5" x14ac:dyDescent="0.2">
      <c r="A283" s="728" t="s">
        <v>519</v>
      </c>
      <c r="B283" s="729">
        <v>27877</v>
      </c>
      <c r="C283" s="729">
        <v>27809</v>
      </c>
      <c r="D283" s="729">
        <v>27740</v>
      </c>
      <c r="E283" s="729">
        <v>27673</v>
      </c>
      <c r="F283" s="729">
        <v>27604</v>
      </c>
      <c r="G283" s="729">
        <v>27536</v>
      </c>
      <c r="H283" s="729">
        <v>27468</v>
      </c>
      <c r="I283" s="729">
        <v>15885.333333333334</v>
      </c>
      <c r="J283" s="729">
        <v>15885.333333333334</v>
      </c>
      <c r="K283" s="729">
        <v>15885.333333333334</v>
      </c>
      <c r="L283" s="729"/>
      <c r="M283" s="729"/>
      <c r="N283" s="729"/>
      <c r="O283" s="729"/>
      <c r="P283" s="729"/>
      <c r="Q283" s="729"/>
      <c r="R283" s="729"/>
      <c r="S283" s="729"/>
      <c r="T283" s="729"/>
      <c r="U283" s="729"/>
      <c r="V283" s="729"/>
      <c r="W283" s="729"/>
      <c r="X283" s="729"/>
      <c r="Y283" s="729"/>
      <c r="Z283" s="729"/>
      <c r="AA283" s="729"/>
      <c r="AB283" s="729"/>
      <c r="AC283" s="729"/>
      <c r="AD283" s="729"/>
      <c r="AE283" s="729"/>
      <c r="AF283" s="729"/>
      <c r="AG283" s="729"/>
    </row>
    <row r="284" spans="1:33" ht="25.5" x14ac:dyDescent="0.2">
      <c r="A284" s="728" t="s">
        <v>520</v>
      </c>
      <c r="B284" s="729">
        <v>15892</v>
      </c>
      <c r="C284" s="729">
        <v>15853</v>
      </c>
      <c r="D284" s="729">
        <v>15814</v>
      </c>
      <c r="E284" s="729">
        <v>15776</v>
      </c>
      <c r="F284" s="729">
        <v>15737</v>
      </c>
      <c r="G284" s="729">
        <v>15698</v>
      </c>
      <c r="H284" s="729">
        <v>15659</v>
      </c>
      <c r="I284" s="729">
        <v>15698</v>
      </c>
      <c r="J284" s="729">
        <v>9.0345903936807233</v>
      </c>
      <c r="K284" s="729"/>
      <c r="L284" s="729"/>
      <c r="M284" s="729"/>
      <c r="N284" s="729"/>
      <c r="O284" s="729"/>
      <c r="P284" s="729"/>
      <c r="Q284" s="729"/>
      <c r="R284" s="729"/>
      <c r="S284" s="729"/>
      <c r="T284" s="729"/>
      <c r="U284" s="729"/>
      <c r="V284" s="729"/>
      <c r="W284" s="729"/>
      <c r="X284" s="729"/>
      <c r="Y284" s="729"/>
      <c r="Z284" s="729"/>
      <c r="AA284" s="729"/>
      <c r="AB284" s="729"/>
      <c r="AC284" s="729"/>
      <c r="AD284" s="729"/>
      <c r="AE284" s="729"/>
      <c r="AF284" s="729"/>
      <c r="AG284" s="729"/>
    </row>
    <row r="285" spans="1:33" ht="25.5" x14ac:dyDescent="0.2">
      <c r="A285" s="728" t="s">
        <v>521</v>
      </c>
      <c r="B285" s="729">
        <v>33538</v>
      </c>
      <c r="C285" s="729">
        <v>33455</v>
      </c>
      <c r="D285" s="729">
        <v>33373</v>
      </c>
      <c r="E285" s="729">
        <v>33292</v>
      </c>
      <c r="F285" s="729">
        <v>33210</v>
      </c>
      <c r="G285" s="729">
        <v>33127</v>
      </c>
      <c r="H285" s="729">
        <v>33046</v>
      </c>
      <c r="I285" s="729">
        <v>30150</v>
      </c>
      <c r="J285" s="729">
        <v>30150</v>
      </c>
      <c r="K285" s="729">
        <v>30150</v>
      </c>
      <c r="L285" s="729"/>
      <c r="M285" s="729"/>
      <c r="N285" s="729"/>
      <c r="O285" s="729"/>
      <c r="P285" s="729"/>
      <c r="Q285" s="729"/>
      <c r="R285" s="729"/>
      <c r="S285" s="729"/>
      <c r="T285" s="729"/>
      <c r="U285" s="729"/>
      <c r="V285" s="729"/>
      <c r="W285" s="729"/>
      <c r="X285" s="729"/>
      <c r="Y285" s="729"/>
      <c r="Z285" s="729"/>
      <c r="AA285" s="729"/>
      <c r="AB285" s="729"/>
      <c r="AC285" s="729"/>
      <c r="AD285" s="729"/>
      <c r="AE285" s="729"/>
      <c r="AF285" s="729"/>
      <c r="AG285" s="729"/>
    </row>
    <row r="286" spans="1:33" ht="25.5" x14ac:dyDescent="0.2">
      <c r="A286" s="728" t="s">
        <v>522</v>
      </c>
      <c r="B286" s="729">
        <v>16720</v>
      </c>
      <c r="C286" s="729">
        <v>22174</v>
      </c>
      <c r="D286" s="729">
        <v>22119</v>
      </c>
      <c r="E286" s="729">
        <v>22064</v>
      </c>
      <c r="F286" s="729">
        <v>22009</v>
      </c>
      <c r="G286" s="729">
        <v>10984</v>
      </c>
      <c r="H286" s="729"/>
      <c r="I286" s="729"/>
      <c r="J286" s="729"/>
      <c r="K286" s="729"/>
      <c r="L286" s="729"/>
      <c r="M286" s="729"/>
      <c r="N286" s="729"/>
      <c r="O286" s="729"/>
      <c r="P286" s="729"/>
      <c r="Q286" s="729"/>
      <c r="R286" s="729"/>
      <c r="S286" s="729"/>
      <c r="T286" s="729"/>
      <c r="U286" s="729"/>
      <c r="V286" s="729"/>
      <c r="W286" s="729"/>
      <c r="X286" s="729"/>
      <c r="Y286" s="729"/>
      <c r="Z286" s="729"/>
      <c r="AA286" s="729"/>
      <c r="AB286" s="729"/>
      <c r="AC286" s="729"/>
      <c r="AD286" s="729"/>
      <c r="AE286" s="729"/>
      <c r="AF286" s="729"/>
      <c r="AG286" s="729"/>
    </row>
    <row r="287" spans="1:33" ht="38.25" x14ac:dyDescent="0.2">
      <c r="A287" s="728" t="s">
        <v>523</v>
      </c>
      <c r="B287" s="729">
        <v>16854</v>
      </c>
      <c r="C287" s="729">
        <v>22281</v>
      </c>
      <c r="D287" s="729">
        <v>22226</v>
      </c>
      <c r="E287" s="729">
        <v>22172</v>
      </c>
      <c r="F287" s="729">
        <v>22117</v>
      </c>
      <c r="G287" s="729">
        <v>22063</v>
      </c>
      <c r="H287" s="729">
        <v>22008</v>
      </c>
      <c r="I287" s="729">
        <v>19231</v>
      </c>
      <c r="J287" s="729">
        <v>19231</v>
      </c>
      <c r="K287" s="729">
        <v>19231</v>
      </c>
      <c r="L287" s="729">
        <v>19231</v>
      </c>
      <c r="M287" s="729"/>
      <c r="N287" s="729"/>
      <c r="O287" s="729"/>
      <c r="P287" s="729"/>
      <c r="Q287" s="729"/>
      <c r="R287" s="729"/>
      <c r="S287" s="729"/>
      <c r="T287" s="729"/>
      <c r="U287" s="729"/>
      <c r="V287" s="729"/>
      <c r="W287" s="729"/>
      <c r="X287" s="729"/>
      <c r="Y287" s="729"/>
      <c r="Z287" s="729"/>
      <c r="AA287" s="729"/>
      <c r="AB287" s="729"/>
      <c r="AC287" s="729"/>
      <c r="AD287" s="729"/>
      <c r="AE287" s="729"/>
      <c r="AF287" s="729"/>
      <c r="AG287" s="729"/>
    </row>
    <row r="288" spans="1:33" ht="25.5" x14ac:dyDescent="0.2">
      <c r="A288" s="728" t="s">
        <v>524</v>
      </c>
      <c r="B288" s="729">
        <v>23838</v>
      </c>
      <c r="C288" s="729">
        <v>31666</v>
      </c>
      <c r="D288" s="729">
        <v>15802</v>
      </c>
      <c r="E288" s="729"/>
      <c r="F288" s="729"/>
      <c r="G288" s="729"/>
      <c r="H288" s="729"/>
      <c r="I288" s="729"/>
      <c r="J288" s="729"/>
      <c r="K288" s="729"/>
      <c r="L288" s="729"/>
      <c r="M288" s="729"/>
      <c r="N288" s="729"/>
      <c r="O288" s="729"/>
      <c r="P288" s="729"/>
      <c r="Q288" s="729"/>
      <c r="R288" s="729"/>
      <c r="S288" s="729"/>
      <c r="T288" s="729"/>
      <c r="U288" s="729"/>
      <c r="V288" s="729"/>
      <c r="W288" s="729"/>
      <c r="X288" s="729"/>
      <c r="Y288" s="729"/>
      <c r="Z288" s="729"/>
      <c r="AA288" s="729"/>
      <c r="AB288" s="729"/>
      <c r="AC288" s="729"/>
      <c r="AD288" s="729"/>
      <c r="AE288" s="729"/>
      <c r="AF288" s="729"/>
      <c r="AG288" s="729"/>
    </row>
    <row r="289" spans="1:33" ht="25.5" x14ac:dyDescent="0.2">
      <c r="A289" s="728" t="s">
        <v>525</v>
      </c>
      <c r="B289" s="729">
        <v>24449</v>
      </c>
      <c r="C289" s="729">
        <v>32468</v>
      </c>
      <c r="D289" s="729">
        <v>16202</v>
      </c>
      <c r="E289" s="729"/>
      <c r="F289" s="729"/>
      <c r="G289" s="729"/>
      <c r="H289" s="729"/>
      <c r="I289" s="729"/>
      <c r="J289" s="729"/>
      <c r="K289" s="729"/>
      <c r="L289" s="729"/>
      <c r="M289" s="729"/>
      <c r="N289" s="729"/>
      <c r="O289" s="729"/>
      <c r="P289" s="729"/>
      <c r="Q289" s="729"/>
      <c r="R289" s="729"/>
      <c r="S289" s="729"/>
      <c r="T289" s="729"/>
      <c r="U289" s="729"/>
      <c r="V289" s="729"/>
      <c r="W289" s="729"/>
      <c r="X289" s="729"/>
      <c r="Y289" s="729"/>
      <c r="Z289" s="729"/>
      <c r="AA289" s="729"/>
      <c r="AB289" s="729"/>
      <c r="AC289" s="729"/>
      <c r="AD289" s="729"/>
      <c r="AE289" s="729"/>
      <c r="AF289" s="729"/>
      <c r="AG289" s="729"/>
    </row>
    <row r="290" spans="1:33" ht="25.5" x14ac:dyDescent="0.2">
      <c r="A290" s="728" t="s">
        <v>526</v>
      </c>
      <c r="B290" s="729">
        <v>6909</v>
      </c>
      <c r="C290" s="729">
        <v>102059</v>
      </c>
      <c r="D290" s="729">
        <v>101866</v>
      </c>
      <c r="E290" s="729">
        <v>101628</v>
      </c>
      <c r="F290" s="729">
        <v>101390</v>
      </c>
      <c r="G290" s="729">
        <v>101151</v>
      </c>
      <c r="H290" s="729">
        <v>100913</v>
      </c>
      <c r="I290" s="729">
        <v>98123.869565217392</v>
      </c>
      <c r="J290" s="729">
        <v>98123.869565217392</v>
      </c>
      <c r="K290" s="729">
        <v>98123.869565217392</v>
      </c>
      <c r="L290" s="729">
        <v>98123.869565217392</v>
      </c>
      <c r="M290" s="729">
        <v>98123.869565217392</v>
      </c>
      <c r="N290" s="729">
        <v>98123.869565217392</v>
      </c>
      <c r="O290" s="729">
        <v>98123.869565217392</v>
      </c>
      <c r="P290" s="729">
        <v>98123.869565217392</v>
      </c>
      <c r="Q290" s="729">
        <v>98123.869565217392</v>
      </c>
      <c r="R290" s="729">
        <v>98123.869565217392</v>
      </c>
      <c r="S290" s="729">
        <v>98123.869565217392</v>
      </c>
      <c r="T290" s="729">
        <v>98123.869565217392</v>
      </c>
      <c r="U290" s="729">
        <v>98123.869565217392</v>
      </c>
      <c r="V290" s="729">
        <v>98123.869565217392</v>
      </c>
      <c r="W290" s="729">
        <v>98123.869565217392</v>
      </c>
      <c r="X290" s="729">
        <v>98123.869565217392</v>
      </c>
      <c r="Y290" s="729">
        <v>98123.869565217392</v>
      </c>
      <c r="Z290" s="729">
        <v>98123.869565217392</v>
      </c>
      <c r="AA290" s="729">
        <v>98123.869565217392</v>
      </c>
      <c r="AB290" s="729">
        <v>98123.869565217392</v>
      </c>
      <c r="AC290" s="729">
        <v>98123.869565217392</v>
      </c>
      <c r="AD290" s="729">
        <v>98123.869565217392</v>
      </c>
      <c r="AE290" s="729">
        <v>98123.869565217392</v>
      </c>
      <c r="AF290" s="729"/>
      <c r="AG290" s="729"/>
    </row>
    <row r="291" spans="1:33" ht="25.5" x14ac:dyDescent="0.2">
      <c r="A291" s="728" t="s">
        <v>527</v>
      </c>
      <c r="B291" s="729">
        <v>4903</v>
      </c>
      <c r="C291" s="729">
        <v>71801</v>
      </c>
      <c r="D291" s="729">
        <v>71711</v>
      </c>
      <c r="E291" s="729">
        <v>71543</v>
      </c>
      <c r="F291" s="729">
        <v>71376</v>
      </c>
      <c r="G291" s="729">
        <v>71208</v>
      </c>
      <c r="H291" s="729">
        <v>71040</v>
      </c>
      <c r="I291" s="729">
        <v>66881.75</v>
      </c>
      <c r="J291" s="729">
        <v>66881.75</v>
      </c>
      <c r="K291" s="729">
        <v>66881.75</v>
      </c>
      <c r="L291" s="729">
        <v>66881.75</v>
      </c>
      <c r="M291" s="729">
        <v>66881.75</v>
      </c>
      <c r="N291" s="729">
        <v>66881.75</v>
      </c>
      <c r="O291" s="729">
        <v>66881.75</v>
      </c>
      <c r="P291" s="729">
        <v>66881.75</v>
      </c>
      <c r="Q291" s="729">
        <v>66881.75</v>
      </c>
      <c r="R291" s="729">
        <v>66881.75</v>
      </c>
      <c r="S291" s="729">
        <v>66881.75</v>
      </c>
      <c r="T291" s="729">
        <v>66881.75</v>
      </c>
      <c r="U291" s="729">
        <v>66881.75</v>
      </c>
      <c r="V291" s="729">
        <v>66881.75</v>
      </c>
      <c r="W291" s="729">
        <v>66881.75</v>
      </c>
      <c r="X291" s="729">
        <v>66881.75</v>
      </c>
      <c r="Y291" s="729">
        <v>66881.75</v>
      </c>
      <c r="Z291" s="729">
        <v>66881.75</v>
      </c>
      <c r="AA291" s="729">
        <v>66881.75</v>
      </c>
      <c r="AB291" s="729">
        <v>66881.75</v>
      </c>
      <c r="AC291" s="729">
        <v>66881.75</v>
      </c>
      <c r="AD291" s="729">
        <v>66881.75</v>
      </c>
      <c r="AE291" s="729">
        <v>66881.75</v>
      </c>
      <c r="AF291" s="729">
        <v>66881.75</v>
      </c>
      <c r="AG291" s="729"/>
    </row>
    <row r="292" spans="1:33" ht="25.5" x14ac:dyDescent="0.2">
      <c r="A292" s="728" t="s">
        <v>528</v>
      </c>
      <c r="B292" s="729">
        <v>50136</v>
      </c>
      <c r="C292" s="729">
        <v>49920</v>
      </c>
      <c r="D292" s="729">
        <v>49705</v>
      </c>
      <c r="E292" s="729">
        <v>49489</v>
      </c>
      <c r="F292" s="729">
        <v>49274</v>
      </c>
      <c r="G292" s="729">
        <v>49058</v>
      </c>
      <c r="H292" s="729">
        <v>48842</v>
      </c>
      <c r="I292" s="729">
        <v>30388.5</v>
      </c>
      <c r="J292" s="729">
        <v>30388.5</v>
      </c>
      <c r="K292" s="729"/>
      <c r="L292" s="729"/>
      <c r="M292" s="729"/>
      <c r="N292" s="729"/>
      <c r="O292" s="729"/>
      <c r="P292" s="729"/>
      <c r="Q292" s="729"/>
      <c r="R292" s="729"/>
      <c r="S292" s="729"/>
      <c r="T292" s="729"/>
      <c r="U292" s="729"/>
      <c r="V292" s="729"/>
      <c r="W292" s="729"/>
      <c r="X292" s="729"/>
      <c r="Y292" s="729"/>
      <c r="Z292" s="729"/>
      <c r="AA292" s="729"/>
      <c r="AB292" s="729"/>
      <c r="AC292" s="729"/>
      <c r="AD292" s="729"/>
      <c r="AE292" s="729"/>
      <c r="AF292" s="729"/>
      <c r="AG292" s="729"/>
    </row>
    <row r="293" spans="1:33" x14ac:dyDescent="0.2">
      <c r="A293" s="787" t="s">
        <v>342</v>
      </c>
      <c r="B293" s="788"/>
      <c r="C293" s="788"/>
      <c r="D293" s="788"/>
      <c r="E293" s="788"/>
      <c r="F293" s="788"/>
      <c r="G293" s="788"/>
      <c r="H293" s="788"/>
      <c r="I293" s="788"/>
      <c r="J293" s="788"/>
      <c r="K293" s="788"/>
      <c r="L293" s="788"/>
      <c r="M293" s="788"/>
      <c r="N293" s="788"/>
      <c r="O293" s="788"/>
      <c r="P293" s="788"/>
      <c r="Q293" s="788"/>
      <c r="R293" s="788"/>
      <c r="S293" s="788"/>
      <c r="T293" s="788"/>
      <c r="U293" s="788"/>
      <c r="V293" s="788"/>
      <c r="W293" s="788"/>
      <c r="X293" s="788"/>
      <c r="Y293" s="788"/>
      <c r="Z293" s="788"/>
      <c r="AA293" s="788"/>
      <c r="AB293" s="788"/>
      <c r="AC293" s="788"/>
      <c r="AD293" s="788"/>
      <c r="AE293" s="788"/>
      <c r="AF293" s="788"/>
      <c r="AG293" s="788"/>
    </row>
    <row r="294" spans="1:33" ht="25.5" x14ac:dyDescent="0.2">
      <c r="A294" s="728" t="s">
        <v>346</v>
      </c>
      <c r="B294" s="729">
        <v>3998</v>
      </c>
      <c r="C294" s="729">
        <v>3968</v>
      </c>
      <c r="D294" s="729">
        <v>3937</v>
      </c>
      <c r="E294" s="729">
        <v>3906</v>
      </c>
      <c r="F294" s="729">
        <v>3876</v>
      </c>
      <c r="G294" s="729">
        <v>3845</v>
      </c>
      <c r="H294" s="729">
        <v>3814</v>
      </c>
      <c r="I294" s="729">
        <v>3555.5555555555557</v>
      </c>
      <c r="J294" s="729">
        <v>3555.5555555555557</v>
      </c>
      <c r="K294" s="729">
        <v>3555.5555555555557</v>
      </c>
      <c r="L294" s="729">
        <v>3555.5555555555557</v>
      </c>
      <c r="M294" s="729">
        <v>3555.5555555555557</v>
      </c>
      <c r="N294" s="729">
        <v>3555.5555555555557</v>
      </c>
      <c r="O294" s="729">
        <v>3555.5555555555557</v>
      </c>
      <c r="P294" s="729">
        <v>3555.5555555555557</v>
      </c>
      <c r="Q294" s="729">
        <v>3555.5555555555557</v>
      </c>
      <c r="R294" s="729"/>
      <c r="S294" s="729"/>
      <c r="T294" s="729"/>
      <c r="U294" s="729"/>
      <c r="V294" s="729"/>
      <c r="W294" s="729"/>
      <c r="X294" s="729"/>
      <c r="Y294" s="729"/>
      <c r="Z294" s="729"/>
      <c r="AA294" s="729"/>
      <c r="AB294" s="729"/>
      <c r="AC294" s="729"/>
      <c r="AD294" s="729"/>
      <c r="AE294" s="729"/>
      <c r="AF294" s="729"/>
      <c r="AG294" s="729"/>
    </row>
    <row r="295" spans="1:33" ht="25.5" x14ac:dyDescent="0.2">
      <c r="A295" s="730" t="s">
        <v>343</v>
      </c>
      <c r="B295" s="729">
        <v>5869</v>
      </c>
      <c r="C295" s="729">
        <v>5760</v>
      </c>
      <c r="D295" s="729">
        <v>5652</v>
      </c>
      <c r="E295" s="729">
        <v>5543</v>
      </c>
      <c r="F295" s="729">
        <v>5435</v>
      </c>
      <c r="G295" s="729">
        <v>5326</v>
      </c>
      <c r="H295" s="729">
        <v>5217</v>
      </c>
      <c r="I295" s="729">
        <v>4614.7142857142853</v>
      </c>
      <c r="J295" s="729">
        <v>4614.7142857142853</v>
      </c>
      <c r="K295" s="729">
        <v>4614.7142857142853</v>
      </c>
      <c r="L295" s="729">
        <v>4614.7142857142853</v>
      </c>
      <c r="M295" s="729">
        <v>4614.7142857142853</v>
      </c>
      <c r="N295" s="729">
        <v>4614.7142857142853</v>
      </c>
      <c r="O295" s="729">
        <v>4614.7142857142853</v>
      </c>
      <c r="P295" s="729"/>
      <c r="Q295" s="729"/>
      <c r="R295" s="729"/>
      <c r="S295" s="729"/>
      <c r="T295" s="729"/>
      <c r="U295" s="729"/>
      <c r="V295" s="729"/>
      <c r="W295" s="729"/>
      <c r="X295" s="729"/>
      <c r="Y295" s="729"/>
      <c r="Z295" s="729"/>
      <c r="AA295" s="729"/>
      <c r="AB295" s="729"/>
      <c r="AC295" s="729"/>
      <c r="AD295" s="729"/>
      <c r="AE295" s="729"/>
      <c r="AF295" s="729"/>
      <c r="AG295" s="729"/>
    </row>
    <row r="296" spans="1:33" ht="25.5" x14ac:dyDescent="0.2">
      <c r="A296" s="730" t="s">
        <v>344</v>
      </c>
      <c r="B296" s="729">
        <v>31828</v>
      </c>
      <c r="C296" s="729">
        <v>31619</v>
      </c>
      <c r="D296" s="729">
        <v>31410</v>
      </c>
      <c r="E296" s="729">
        <v>31200</v>
      </c>
      <c r="F296" s="729">
        <v>30991</v>
      </c>
      <c r="G296" s="729">
        <v>30782</v>
      </c>
      <c r="H296" s="729">
        <v>30572</v>
      </c>
      <c r="I296" s="729">
        <v>28128.473684210527</v>
      </c>
      <c r="J296" s="729">
        <v>28128.473684210527</v>
      </c>
      <c r="K296" s="729">
        <v>28128.473684210527</v>
      </c>
      <c r="L296" s="729">
        <v>28128.473684210527</v>
      </c>
      <c r="M296" s="729">
        <v>28128.473684210527</v>
      </c>
      <c r="N296" s="729">
        <v>28128.473684210527</v>
      </c>
      <c r="O296" s="729">
        <v>28128.473684210527</v>
      </c>
      <c r="P296" s="729">
        <v>28128.473684210527</v>
      </c>
      <c r="Q296" s="729">
        <v>28128.473684210527</v>
      </c>
      <c r="R296" s="729">
        <v>28128.473684210527</v>
      </c>
      <c r="S296" s="729">
        <v>28128.473684210527</v>
      </c>
      <c r="T296" s="729">
        <v>28128.473684210527</v>
      </c>
      <c r="U296" s="729">
        <v>28128.473684210527</v>
      </c>
      <c r="V296" s="729">
        <v>28128.473684210527</v>
      </c>
      <c r="W296" s="729">
        <v>28128.473684210527</v>
      </c>
      <c r="X296" s="729">
        <v>28128.473684210527</v>
      </c>
      <c r="Y296" s="729">
        <v>28128.473684210527</v>
      </c>
      <c r="Z296" s="729">
        <v>28128.473684210527</v>
      </c>
      <c r="AA296" s="729">
        <v>28128.473684210527</v>
      </c>
      <c r="AB296" s="729"/>
      <c r="AC296" s="729"/>
      <c r="AD296" s="729"/>
      <c r="AE296" s="729"/>
      <c r="AF296" s="729"/>
      <c r="AG296" s="729"/>
    </row>
    <row r="297" spans="1:33" ht="25.5" x14ac:dyDescent="0.2">
      <c r="A297" s="730" t="s">
        <v>345</v>
      </c>
      <c r="B297" s="729">
        <v>4200</v>
      </c>
      <c r="C297" s="729">
        <v>4168</v>
      </c>
      <c r="D297" s="729">
        <v>4135</v>
      </c>
      <c r="E297" s="729">
        <v>4103</v>
      </c>
      <c r="F297" s="729">
        <v>4070</v>
      </c>
      <c r="G297" s="729">
        <v>4038</v>
      </c>
      <c r="H297" s="729">
        <v>4006</v>
      </c>
      <c r="I297" s="729">
        <v>3755.1111111111113</v>
      </c>
      <c r="J297" s="729">
        <v>3755.1111111111113</v>
      </c>
      <c r="K297" s="729">
        <v>3755.1111111111113</v>
      </c>
      <c r="L297" s="729">
        <v>3755.1111111111113</v>
      </c>
      <c r="M297" s="729">
        <v>3755.1111111111113</v>
      </c>
      <c r="N297" s="729">
        <v>3755.1111111111113</v>
      </c>
      <c r="O297" s="729">
        <v>3755.1111111111113</v>
      </c>
      <c r="P297" s="729">
        <v>3755.1111111111113</v>
      </c>
      <c r="Q297" s="729">
        <v>3755.1111111111113</v>
      </c>
      <c r="R297" s="729"/>
      <c r="S297" s="729"/>
      <c r="T297" s="729"/>
      <c r="U297" s="729"/>
      <c r="V297" s="729"/>
      <c r="W297" s="729"/>
      <c r="X297" s="729"/>
      <c r="Y297" s="729"/>
      <c r="Z297" s="729"/>
      <c r="AA297" s="729"/>
      <c r="AB297" s="729"/>
      <c r="AC297" s="729"/>
      <c r="AD297" s="729"/>
      <c r="AE297" s="729"/>
      <c r="AF297" s="729"/>
      <c r="AG297" s="729"/>
    </row>
    <row r="298" spans="1:33" ht="25.5" x14ac:dyDescent="0.2">
      <c r="A298" s="730" t="s">
        <v>347</v>
      </c>
      <c r="B298" s="729">
        <v>3677</v>
      </c>
      <c r="C298" s="729">
        <v>3648</v>
      </c>
      <c r="D298" s="729">
        <v>3620</v>
      </c>
      <c r="E298" s="729">
        <v>3592</v>
      </c>
      <c r="F298" s="729">
        <v>3563</v>
      </c>
      <c r="G298" s="729">
        <v>3535</v>
      </c>
      <c r="H298" s="729">
        <v>3507</v>
      </c>
      <c r="I298" s="729">
        <v>3271.2222222222222</v>
      </c>
      <c r="J298" s="729">
        <v>3271.2222222222222</v>
      </c>
      <c r="K298" s="729">
        <v>3271.2222222222222</v>
      </c>
      <c r="L298" s="729">
        <v>3271.2222222222222</v>
      </c>
      <c r="M298" s="729">
        <v>3271.2222222222222</v>
      </c>
      <c r="N298" s="729">
        <v>3271.2222222222222</v>
      </c>
      <c r="O298" s="729">
        <v>3271.2222222222222</v>
      </c>
      <c r="P298" s="729">
        <v>3271.2222222222222</v>
      </c>
      <c r="Q298" s="729">
        <v>3271.2222222222222</v>
      </c>
      <c r="R298" s="729"/>
      <c r="S298" s="729"/>
      <c r="T298" s="729"/>
      <c r="U298" s="729"/>
      <c r="V298" s="729"/>
      <c r="W298" s="729"/>
      <c r="X298" s="729"/>
      <c r="Y298" s="729"/>
      <c r="Z298" s="729"/>
      <c r="AA298" s="729"/>
      <c r="AB298" s="729"/>
      <c r="AC298" s="729"/>
      <c r="AD298" s="729"/>
      <c r="AE298" s="729"/>
      <c r="AF298" s="729"/>
      <c r="AG298" s="729"/>
    </row>
    <row r="299" spans="1:33" ht="25.5" x14ac:dyDescent="0.2">
      <c r="A299" s="730" t="s">
        <v>529</v>
      </c>
      <c r="B299" s="729">
        <v>10256</v>
      </c>
      <c r="C299" s="729">
        <v>13159</v>
      </c>
      <c r="D299" s="729">
        <v>13101</v>
      </c>
      <c r="E299" s="729">
        <v>13043</v>
      </c>
      <c r="F299" s="729">
        <v>12986</v>
      </c>
      <c r="G299" s="729">
        <v>12928</v>
      </c>
      <c r="H299" s="729">
        <v>12870</v>
      </c>
      <c r="I299" s="729">
        <v>92402.666666666672</v>
      </c>
      <c r="J299" s="729">
        <v>92402.666666666672</v>
      </c>
      <c r="K299" s="729">
        <v>92402.666666666672</v>
      </c>
      <c r="L299" s="729"/>
      <c r="M299" s="729"/>
      <c r="N299" s="729"/>
      <c r="O299" s="729"/>
      <c r="P299" s="729"/>
      <c r="Q299" s="729"/>
      <c r="R299" s="729"/>
      <c r="S299" s="729"/>
      <c r="T299" s="729"/>
      <c r="U299" s="729"/>
      <c r="V299" s="729"/>
      <c r="W299" s="729"/>
      <c r="X299" s="729"/>
      <c r="Y299" s="729"/>
      <c r="Z299" s="729"/>
      <c r="AA299" s="729"/>
      <c r="AB299" s="729"/>
      <c r="AC299" s="729"/>
      <c r="AD299" s="729"/>
      <c r="AE299" s="729"/>
      <c r="AF299" s="729"/>
      <c r="AG299" s="729"/>
    </row>
    <row r="300" spans="1:33" ht="25.5" x14ac:dyDescent="0.2">
      <c r="A300" s="730" t="s">
        <v>349</v>
      </c>
      <c r="B300" s="729">
        <v>6325</v>
      </c>
      <c r="C300" s="729">
        <v>6292</v>
      </c>
      <c r="D300" s="729">
        <v>6259</v>
      </c>
      <c r="E300" s="729">
        <v>6226</v>
      </c>
      <c r="F300" s="729">
        <v>6193</v>
      </c>
      <c r="G300" s="729">
        <v>6159</v>
      </c>
      <c r="H300" s="729">
        <v>6126</v>
      </c>
      <c r="I300" s="729">
        <v>5943.4</v>
      </c>
      <c r="J300" s="729">
        <v>5943.4</v>
      </c>
      <c r="K300" s="729">
        <v>5943.4</v>
      </c>
      <c r="L300" s="729">
        <v>5943.4</v>
      </c>
      <c r="M300" s="729">
        <v>5943.4</v>
      </c>
      <c r="N300" s="729">
        <v>5943.4</v>
      </c>
      <c r="O300" s="729">
        <v>5943.4</v>
      </c>
      <c r="P300" s="729">
        <v>5943.4</v>
      </c>
      <c r="Q300" s="729">
        <v>5943.4</v>
      </c>
      <c r="R300" s="729">
        <v>5943.4</v>
      </c>
      <c r="S300" s="729"/>
      <c r="T300" s="729"/>
      <c r="U300" s="729"/>
      <c r="V300" s="729"/>
      <c r="W300" s="729"/>
      <c r="X300" s="729"/>
      <c r="Y300" s="729"/>
      <c r="Z300" s="729"/>
      <c r="AA300" s="729"/>
      <c r="AB300" s="729"/>
      <c r="AC300" s="729"/>
      <c r="AD300" s="729"/>
      <c r="AE300" s="729"/>
      <c r="AF300" s="729"/>
      <c r="AG300" s="729"/>
    </row>
    <row r="301" spans="1:33" ht="25.5" x14ac:dyDescent="0.2">
      <c r="A301" s="731" t="s">
        <v>348</v>
      </c>
      <c r="B301" s="729">
        <v>3916</v>
      </c>
      <c r="C301" s="729">
        <v>3895</v>
      </c>
      <c r="D301" s="729">
        <v>3875</v>
      </c>
      <c r="E301" s="729">
        <v>3854</v>
      </c>
      <c r="F301" s="729">
        <v>3834</v>
      </c>
      <c r="G301" s="729">
        <v>3813</v>
      </c>
      <c r="H301" s="729">
        <v>3793</v>
      </c>
      <c r="I301" s="729">
        <v>3679.9</v>
      </c>
      <c r="J301" s="729">
        <v>3679.9</v>
      </c>
      <c r="K301" s="729">
        <v>3679.9</v>
      </c>
      <c r="L301" s="729">
        <v>3679.9</v>
      </c>
      <c r="M301" s="729">
        <v>3679.9</v>
      </c>
      <c r="N301" s="729">
        <v>3679.9</v>
      </c>
      <c r="O301" s="729">
        <v>3679.9</v>
      </c>
      <c r="P301" s="729">
        <v>3679.9</v>
      </c>
      <c r="Q301" s="729">
        <v>3679.9</v>
      </c>
      <c r="R301" s="729">
        <v>3679.9</v>
      </c>
      <c r="S301" s="729"/>
      <c r="T301" s="729"/>
      <c r="U301" s="729"/>
      <c r="V301" s="729"/>
      <c r="W301" s="729"/>
      <c r="X301" s="729"/>
      <c r="Y301" s="729"/>
      <c r="Z301" s="729"/>
      <c r="AA301" s="729"/>
      <c r="AB301" s="729"/>
      <c r="AC301" s="729"/>
      <c r="AD301" s="729"/>
      <c r="AE301" s="729"/>
      <c r="AF301" s="729"/>
      <c r="AG301" s="729"/>
    </row>
    <row r="302" spans="1:33" x14ac:dyDescent="0.2">
      <c r="A302" s="730" t="s">
        <v>530</v>
      </c>
      <c r="B302" s="729">
        <v>39627</v>
      </c>
      <c r="C302" s="729">
        <v>39627</v>
      </c>
      <c r="D302" s="729">
        <v>39627</v>
      </c>
      <c r="E302" s="729">
        <v>39761</v>
      </c>
      <c r="F302" s="729"/>
      <c r="G302" s="729"/>
      <c r="H302" s="729"/>
      <c r="I302" s="729"/>
      <c r="J302" s="729"/>
      <c r="K302" s="729"/>
      <c r="L302" s="729"/>
      <c r="M302" s="729"/>
      <c r="N302" s="729"/>
      <c r="O302" s="729"/>
      <c r="P302" s="729"/>
      <c r="Q302" s="729"/>
      <c r="R302" s="729"/>
      <c r="S302" s="729"/>
      <c r="T302" s="729"/>
      <c r="U302" s="729"/>
      <c r="V302" s="729"/>
      <c r="W302" s="729"/>
      <c r="X302" s="729"/>
      <c r="Y302" s="729"/>
      <c r="Z302" s="729"/>
      <c r="AA302" s="729"/>
      <c r="AB302" s="729"/>
      <c r="AC302" s="729"/>
      <c r="AD302" s="729"/>
      <c r="AE302" s="729"/>
      <c r="AF302" s="729"/>
      <c r="AG302" s="729"/>
    </row>
    <row r="304" spans="1:33" s="28" customFormat="1" x14ac:dyDescent="0.2">
      <c r="A304" s="9"/>
      <c r="B304" s="9"/>
      <c r="C304" s="9"/>
      <c r="D304" s="9"/>
      <c r="E304" s="9"/>
      <c r="F304" s="9"/>
      <c r="G304" s="9"/>
      <c r="H304" s="9"/>
      <c r="I304" s="9"/>
      <c r="J304" s="9"/>
      <c r="K304" s="9"/>
      <c r="L304" s="9"/>
      <c r="M304" s="9"/>
      <c r="N304" s="9"/>
    </row>
    <row r="305" spans="1:14" s="28" customFormat="1" x14ac:dyDescent="0.2">
      <c r="A305" s="9"/>
      <c r="B305" s="9"/>
      <c r="C305" s="9"/>
      <c r="D305" s="9"/>
      <c r="E305" s="9"/>
      <c r="F305" s="9"/>
      <c r="G305" s="9"/>
      <c r="H305" s="9"/>
      <c r="I305" s="9"/>
      <c r="J305" s="9"/>
      <c r="K305" s="9"/>
      <c r="L305" s="9"/>
      <c r="M305" s="9"/>
      <c r="N305" s="9"/>
    </row>
    <row r="306" spans="1:14" s="28" customFormat="1" x14ac:dyDescent="0.2">
      <c r="A306" s="9"/>
      <c r="B306" s="9"/>
      <c r="C306" s="9"/>
      <c r="D306" s="9"/>
      <c r="E306" s="9"/>
      <c r="F306" s="9"/>
      <c r="G306" s="9"/>
      <c r="H306" s="9"/>
      <c r="I306" s="9"/>
      <c r="J306" s="9"/>
      <c r="K306" s="9"/>
      <c r="L306" s="9"/>
      <c r="M306" s="9"/>
      <c r="N306" s="9"/>
    </row>
  </sheetData>
  <mergeCells count="15">
    <mergeCell ref="A252:AG252"/>
    <mergeCell ref="A293:AG293"/>
    <mergeCell ref="A180:AG180"/>
    <mergeCell ref="A184:AG184"/>
    <mergeCell ref="A185:AG185"/>
    <mergeCell ref="A191:AG191"/>
    <mergeCell ref="K215:M215"/>
    <mergeCell ref="A161:AG161"/>
    <mergeCell ref="A167:AG167"/>
    <mergeCell ref="A173:AG173"/>
    <mergeCell ref="A174:AG174"/>
    <mergeCell ref="A149:AG149"/>
    <mergeCell ref="A150:AG150"/>
    <mergeCell ref="A156:AG156"/>
    <mergeCell ref="A160:AG160"/>
  </mergeCells>
  <phoneticPr fontId="2" type="noConversion"/>
  <pageMargins left="0.7" right="0.7" top="0.75" bottom="0.75" header="0.51180555555555551" footer="0.51180555555555551"/>
  <pageSetup paperSize="9" scale="80" firstPageNumber="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DA66"/>
  <sheetViews>
    <sheetView showGridLines="0" zoomScale="85" workbookViewId="0">
      <pane xSplit="7" topLeftCell="H1" activePane="topRight" state="frozen"/>
      <selection activeCell="A4" sqref="A4"/>
      <selection pane="topRight" activeCell="A14" sqref="A14"/>
    </sheetView>
  </sheetViews>
  <sheetFormatPr defaultRowHeight="12.75" outlineLevelCol="2" x14ac:dyDescent="0.2"/>
  <cols>
    <col min="1" max="1" width="55" style="137" customWidth="1"/>
    <col min="2" max="2" width="18" style="137" customWidth="1"/>
    <col min="3" max="3" width="17.85546875" style="137" customWidth="1"/>
    <col min="4" max="4" width="32.5703125" style="137" hidden="1" customWidth="1"/>
    <col min="5" max="5" width="34.5703125" style="137" hidden="1" customWidth="1"/>
    <col min="6" max="6" width="21.85546875" style="137" hidden="1" customWidth="1"/>
    <col min="7" max="7" width="0.28515625" style="137" customWidth="1"/>
    <col min="8" max="10" width="10.5703125" style="137" customWidth="1" outlineLevel="1"/>
    <col min="11" max="11" width="10.5703125" style="251" customWidth="1" outlineLevel="1"/>
    <col min="12" max="19" width="10.5703125" style="137" customWidth="1" outlineLevel="1"/>
    <col min="20" max="20" width="10.5703125" style="137" customWidth="1"/>
    <col min="21" max="21" width="11.28515625" style="137" customWidth="1" outlineLevel="1"/>
    <col min="22" max="22" width="11.28515625" style="251" customWidth="1" outlineLevel="1"/>
    <col min="23" max="24" width="11.28515625" style="137" customWidth="1" outlineLevel="1"/>
    <col min="25" max="25" width="12.28515625" style="137" customWidth="1" outlineLevel="1"/>
    <col min="26" max="27" width="11.28515625" style="137" customWidth="1" outlineLevel="1"/>
    <col min="28" max="28" width="12.28515625" style="137" customWidth="1" outlineLevel="1"/>
    <col min="29" max="30" width="11.28515625" style="137" customWidth="1" outlineLevel="1"/>
    <col min="31" max="32" width="13.28515625" style="137" customWidth="1" outlineLevel="1"/>
    <col min="33" max="33" width="13.42578125" style="137" customWidth="1"/>
    <col min="34" max="34" width="13.28515625" style="137" customWidth="1" outlineLevel="1"/>
    <col min="35" max="35" width="13.28515625" style="251" customWidth="1" outlineLevel="1"/>
    <col min="36" max="45" width="13.28515625" style="137" customWidth="1" outlineLevel="1"/>
    <col min="46" max="46" width="13.28515625" style="137" customWidth="1"/>
    <col min="47" max="58" width="5.85546875" style="137" hidden="1" customWidth="1" outlineLevel="1"/>
    <col min="59" max="59" width="5.85546875" style="137" customWidth="1" collapsed="1"/>
    <col min="60" max="71" width="10.7109375" style="137" hidden="1" customWidth="1" outlineLevel="2"/>
    <col min="72" max="72" width="10.7109375" style="137" customWidth="1" collapsed="1"/>
    <col min="73" max="84" width="13.28515625" style="137" hidden="1" customWidth="1" outlineLevel="1"/>
    <col min="85" max="85" width="13.28515625" style="137" customWidth="1" collapsed="1"/>
    <col min="86" max="97" width="13.28515625" style="137" customWidth="1" outlineLevel="1"/>
    <col min="98" max="98" width="13.28515625" style="137" customWidth="1"/>
    <col min="99" max="99" width="6" style="137" customWidth="1"/>
    <col min="100" max="100" width="15" style="137" customWidth="1"/>
    <col min="101" max="101" width="14.5703125" style="137" customWidth="1"/>
    <col min="102" max="102" width="27" style="137" customWidth="1"/>
    <col min="103" max="16384" width="9.140625" style="137"/>
  </cols>
  <sheetData>
    <row r="1" spans="1:105" s="135" customFormat="1" ht="19.5" x14ac:dyDescent="0.2">
      <c r="A1" s="492" t="str">
        <f>'Datu ievade'!B12</f>
        <v>SIA "Dobeles Ūdens"</v>
      </c>
      <c r="B1" s="492"/>
      <c r="D1" s="136"/>
      <c r="E1" s="137"/>
      <c r="F1" s="137"/>
      <c r="G1" s="137"/>
      <c r="H1" s="138"/>
      <c r="I1" s="138"/>
      <c r="J1" s="138"/>
      <c r="K1" s="139"/>
      <c r="L1" s="138"/>
      <c r="M1" s="138"/>
      <c r="N1" s="138"/>
      <c r="O1" s="138"/>
      <c r="P1" s="138"/>
      <c r="Q1" s="138"/>
      <c r="R1" s="138"/>
      <c r="S1" s="138"/>
      <c r="T1" s="138"/>
      <c r="U1" s="138"/>
      <c r="V1" s="139"/>
      <c r="W1" s="138"/>
      <c r="X1" s="138"/>
      <c r="Y1" s="139"/>
      <c r="Z1" s="138"/>
      <c r="AA1" s="138"/>
      <c r="AB1" s="138"/>
      <c r="AC1" s="138"/>
      <c r="AD1" s="138"/>
      <c r="AE1" s="138"/>
      <c r="AF1" s="138"/>
      <c r="AG1" s="138"/>
      <c r="AH1" s="138"/>
      <c r="AI1" s="139"/>
      <c r="AJ1" s="138"/>
      <c r="AK1" s="138"/>
      <c r="AL1" s="138"/>
      <c r="AM1" s="138"/>
      <c r="AN1" s="138"/>
      <c r="AO1" s="138"/>
      <c r="AP1" s="138"/>
      <c r="AQ1" s="138"/>
      <c r="AR1" s="138"/>
      <c r="AS1" s="138"/>
      <c r="AT1" s="138"/>
      <c r="AU1" s="138"/>
      <c r="AV1" s="138"/>
      <c r="AW1" s="138"/>
      <c r="AX1" s="138"/>
      <c r="AY1" s="138"/>
      <c r="AZ1" s="138"/>
      <c r="BA1" s="138"/>
      <c r="BB1" s="138"/>
      <c r="BC1" s="138"/>
      <c r="BD1" s="138"/>
      <c r="BE1" s="138"/>
      <c r="BF1" s="138"/>
      <c r="BG1" s="138"/>
      <c r="BH1" s="138"/>
      <c r="BI1" s="138"/>
      <c r="BJ1" s="138"/>
      <c r="BK1" s="138"/>
      <c r="BL1" s="138"/>
      <c r="BM1" s="138"/>
      <c r="BN1" s="138"/>
      <c r="BO1" s="138"/>
      <c r="BP1" s="138"/>
      <c r="BQ1" s="138"/>
      <c r="BR1" s="138"/>
      <c r="BS1" s="138"/>
      <c r="BT1" s="138"/>
      <c r="BU1" s="138"/>
      <c r="BV1" s="138"/>
      <c r="BW1" s="138"/>
      <c r="BX1" s="138"/>
      <c r="BY1" s="138"/>
      <c r="BZ1" s="138"/>
      <c r="CA1" s="138"/>
      <c r="CB1" s="138"/>
      <c r="CC1" s="138"/>
      <c r="CD1" s="138"/>
      <c r="CE1" s="138"/>
      <c r="CF1" s="138"/>
      <c r="CG1" s="138"/>
      <c r="CH1" s="138"/>
      <c r="CI1" s="138"/>
      <c r="CJ1" s="138"/>
      <c r="CK1" s="138"/>
      <c r="CL1" s="138"/>
      <c r="CM1" s="140"/>
      <c r="CN1" s="138"/>
      <c r="CO1" s="138"/>
      <c r="CP1" s="138"/>
      <c r="CQ1" s="138"/>
      <c r="CR1" s="138"/>
      <c r="CS1" s="138"/>
      <c r="CT1" s="138"/>
      <c r="CU1" s="138"/>
      <c r="CV1" s="138"/>
      <c r="CW1" s="138"/>
      <c r="CX1" s="138"/>
    </row>
    <row r="2" spans="1:105" s="106" customFormat="1" ht="15.75" customHeight="1" x14ac:dyDescent="0.2">
      <c r="A2" s="489" t="str">
        <f>'Datu ievade'!B13</f>
        <v>"Kanalizācijas tīklu paplašināšana Dobeles aglomerācijā" II kārta</v>
      </c>
      <c r="K2" s="141"/>
      <c r="V2" s="141"/>
      <c r="AI2" s="141"/>
      <c r="CV2" s="108"/>
      <c r="CW2" s="108"/>
    </row>
    <row r="3" spans="1:105" s="106" customFormat="1" ht="18" x14ac:dyDescent="0.2">
      <c r="A3" s="429" t="s">
        <v>394</v>
      </c>
      <c r="B3" s="429"/>
      <c r="C3" s="429"/>
      <c r="K3" s="141"/>
      <c r="V3" s="141"/>
      <c r="AI3" s="141"/>
      <c r="CV3" s="108"/>
      <c r="CW3" s="108"/>
    </row>
    <row r="4" spans="1:105" s="106" customFormat="1" ht="15.75" customHeight="1" thickBot="1" x14ac:dyDescent="0.25">
      <c r="K4" s="141"/>
      <c r="V4" s="141"/>
      <c r="AI4" s="141"/>
      <c r="CV4" s="108"/>
      <c r="CW4" s="108"/>
    </row>
    <row r="5" spans="1:105" ht="17.25" customHeight="1" thickTop="1" x14ac:dyDescent="0.2">
      <c r="A5" s="598" t="str">
        <f>"Projekta naudas plūsmas prognoze projektam "&amp;'Datu ievade'!B13</f>
        <v>Projekta naudas plūsmas prognoze projektam "Kanalizācijas tīklu paplašināšana Dobeles aglomerācijā" II kārta</v>
      </c>
      <c r="B5" s="600" t="s">
        <v>395</v>
      </c>
      <c r="C5" s="602" t="s">
        <v>396</v>
      </c>
      <c r="D5" s="604" t="s">
        <v>397</v>
      </c>
      <c r="E5" s="606" t="s">
        <v>398</v>
      </c>
      <c r="F5" s="617" t="s">
        <v>399</v>
      </c>
      <c r="G5" s="606" t="s">
        <v>400</v>
      </c>
      <c r="H5" s="619">
        <f>'Datu ievade'!B16</f>
        <v>2018</v>
      </c>
      <c r="I5" s="610"/>
      <c r="J5" s="610"/>
      <c r="K5" s="610"/>
      <c r="L5" s="610"/>
      <c r="M5" s="610"/>
      <c r="N5" s="610"/>
      <c r="O5" s="610"/>
      <c r="P5" s="610"/>
      <c r="Q5" s="610"/>
      <c r="R5" s="610"/>
      <c r="S5" s="610"/>
      <c r="T5" s="611">
        <f>H5</f>
        <v>2018</v>
      </c>
      <c r="U5" s="610">
        <f>H5+1</f>
        <v>2019</v>
      </c>
      <c r="V5" s="610"/>
      <c r="W5" s="610"/>
      <c r="X5" s="610"/>
      <c r="Y5" s="610"/>
      <c r="Z5" s="610"/>
      <c r="AA5" s="610"/>
      <c r="AB5" s="610"/>
      <c r="AC5" s="610"/>
      <c r="AD5" s="610"/>
      <c r="AE5" s="610"/>
      <c r="AF5" s="610"/>
      <c r="AG5" s="608">
        <f>U5</f>
        <v>2019</v>
      </c>
      <c r="AH5" s="610">
        <f>U5+1</f>
        <v>2020</v>
      </c>
      <c r="AI5" s="610"/>
      <c r="AJ5" s="610"/>
      <c r="AK5" s="610"/>
      <c r="AL5" s="610"/>
      <c r="AM5" s="610"/>
      <c r="AN5" s="610"/>
      <c r="AO5" s="610"/>
      <c r="AP5" s="610"/>
      <c r="AQ5" s="610"/>
      <c r="AR5" s="610"/>
      <c r="AS5" s="610"/>
      <c r="AT5" s="611">
        <f>AH5</f>
        <v>2020</v>
      </c>
      <c r="AU5" s="610">
        <f>AH5+1</f>
        <v>2021</v>
      </c>
      <c r="AV5" s="610"/>
      <c r="AW5" s="610"/>
      <c r="AX5" s="610"/>
      <c r="AY5" s="610"/>
      <c r="AZ5" s="610"/>
      <c r="BA5" s="610"/>
      <c r="BB5" s="610"/>
      <c r="BC5" s="610"/>
      <c r="BD5" s="610"/>
      <c r="BE5" s="610"/>
      <c r="BF5" s="610"/>
      <c r="BG5" s="608">
        <f>AU5</f>
        <v>2021</v>
      </c>
      <c r="BH5" s="610">
        <f>AU5+1</f>
        <v>2022</v>
      </c>
      <c r="BI5" s="610"/>
      <c r="BJ5" s="610"/>
      <c r="BK5" s="610"/>
      <c r="BL5" s="610"/>
      <c r="BM5" s="610"/>
      <c r="BN5" s="610"/>
      <c r="BO5" s="610"/>
      <c r="BP5" s="610"/>
      <c r="BQ5" s="610"/>
      <c r="BR5" s="610"/>
      <c r="BS5" s="610"/>
      <c r="BT5" s="608">
        <f>BH5</f>
        <v>2022</v>
      </c>
      <c r="BU5" s="610">
        <f>BH5+1</f>
        <v>2023</v>
      </c>
      <c r="BV5" s="610"/>
      <c r="BW5" s="610"/>
      <c r="BX5" s="610"/>
      <c r="BY5" s="610"/>
      <c r="BZ5" s="610"/>
      <c r="CA5" s="610"/>
      <c r="CB5" s="610"/>
      <c r="CC5" s="610"/>
      <c r="CD5" s="610"/>
      <c r="CE5" s="610"/>
      <c r="CF5" s="610"/>
      <c r="CG5" s="608">
        <f>BU5</f>
        <v>2023</v>
      </c>
      <c r="CH5" s="610">
        <f>BU5+1</f>
        <v>2024</v>
      </c>
      <c r="CI5" s="610"/>
      <c r="CJ5" s="610"/>
      <c r="CK5" s="610"/>
      <c r="CL5" s="610"/>
      <c r="CM5" s="610"/>
      <c r="CN5" s="610"/>
      <c r="CO5" s="610"/>
      <c r="CP5" s="610"/>
      <c r="CQ5" s="610"/>
      <c r="CR5" s="610"/>
      <c r="CS5" s="610"/>
      <c r="CT5" s="608">
        <f>CH5</f>
        <v>2024</v>
      </c>
      <c r="CV5" s="615" t="s">
        <v>401</v>
      </c>
      <c r="CW5" s="613" t="s">
        <v>402</v>
      </c>
    </row>
    <row r="6" spans="1:105" s="147" customFormat="1" ht="58.5" customHeight="1" thickBot="1" x14ac:dyDescent="0.3">
      <c r="A6" s="599"/>
      <c r="B6" s="601"/>
      <c r="C6" s="603"/>
      <c r="D6" s="605"/>
      <c r="E6" s="607"/>
      <c r="F6" s="618"/>
      <c r="G6" s="607"/>
      <c r="H6" s="142" t="s">
        <v>403</v>
      </c>
      <c r="I6" s="143" t="s">
        <v>404</v>
      </c>
      <c r="J6" s="143" t="s">
        <v>405</v>
      </c>
      <c r="K6" s="144" t="s">
        <v>406</v>
      </c>
      <c r="L6" s="143" t="s">
        <v>407</v>
      </c>
      <c r="M6" s="143" t="s">
        <v>408</v>
      </c>
      <c r="N6" s="143" t="s">
        <v>409</v>
      </c>
      <c r="O6" s="143" t="s">
        <v>410</v>
      </c>
      <c r="P6" s="143" t="s">
        <v>411</v>
      </c>
      <c r="Q6" s="143" t="s">
        <v>412</v>
      </c>
      <c r="R6" s="143" t="s">
        <v>413</v>
      </c>
      <c r="S6" s="145" t="s">
        <v>414</v>
      </c>
      <c r="T6" s="612"/>
      <c r="U6" s="146" t="s">
        <v>403</v>
      </c>
      <c r="V6" s="144" t="s">
        <v>404</v>
      </c>
      <c r="W6" s="143" t="s">
        <v>405</v>
      </c>
      <c r="X6" s="143" t="s">
        <v>406</v>
      </c>
      <c r="Y6" s="143" t="s">
        <v>407</v>
      </c>
      <c r="Z6" s="143" t="s">
        <v>408</v>
      </c>
      <c r="AA6" s="143" t="s">
        <v>409</v>
      </c>
      <c r="AB6" s="143" t="s">
        <v>410</v>
      </c>
      <c r="AC6" s="143" t="s">
        <v>411</v>
      </c>
      <c r="AD6" s="143" t="s">
        <v>412</v>
      </c>
      <c r="AE6" s="143" t="s">
        <v>413</v>
      </c>
      <c r="AF6" s="145" t="s">
        <v>414</v>
      </c>
      <c r="AG6" s="609"/>
      <c r="AH6" s="146" t="s">
        <v>403</v>
      </c>
      <c r="AI6" s="144" t="s">
        <v>404</v>
      </c>
      <c r="AJ6" s="143" t="s">
        <v>405</v>
      </c>
      <c r="AK6" s="143" t="s">
        <v>406</v>
      </c>
      <c r="AL6" s="143" t="s">
        <v>407</v>
      </c>
      <c r="AM6" s="143" t="s">
        <v>408</v>
      </c>
      <c r="AN6" s="143" t="s">
        <v>409</v>
      </c>
      <c r="AO6" s="143" t="s">
        <v>410</v>
      </c>
      <c r="AP6" s="143" t="s">
        <v>411</v>
      </c>
      <c r="AQ6" s="143" t="s">
        <v>412</v>
      </c>
      <c r="AR6" s="143" t="s">
        <v>413</v>
      </c>
      <c r="AS6" s="145" t="s">
        <v>414</v>
      </c>
      <c r="AT6" s="612"/>
      <c r="AU6" s="146" t="s">
        <v>403</v>
      </c>
      <c r="AV6" s="144" t="s">
        <v>404</v>
      </c>
      <c r="AW6" s="143" t="s">
        <v>405</v>
      </c>
      <c r="AX6" s="143" t="s">
        <v>406</v>
      </c>
      <c r="AY6" s="143" t="s">
        <v>407</v>
      </c>
      <c r="AZ6" s="143" t="s">
        <v>408</v>
      </c>
      <c r="BA6" s="143" t="s">
        <v>409</v>
      </c>
      <c r="BB6" s="143" t="s">
        <v>410</v>
      </c>
      <c r="BC6" s="143" t="s">
        <v>411</v>
      </c>
      <c r="BD6" s="143" t="s">
        <v>412</v>
      </c>
      <c r="BE6" s="143" t="s">
        <v>413</v>
      </c>
      <c r="BF6" s="145" t="s">
        <v>414</v>
      </c>
      <c r="BG6" s="609"/>
      <c r="BH6" s="146" t="s">
        <v>403</v>
      </c>
      <c r="BI6" s="144" t="s">
        <v>404</v>
      </c>
      <c r="BJ6" s="143" t="s">
        <v>405</v>
      </c>
      <c r="BK6" s="143" t="s">
        <v>406</v>
      </c>
      <c r="BL6" s="143" t="s">
        <v>407</v>
      </c>
      <c r="BM6" s="143" t="s">
        <v>408</v>
      </c>
      <c r="BN6" s="143" t="s">
        <v>409</v>
      </c>
      <c r="BO6" s="143" t="s">
        <v>410</v>
      </c>
      <c r="BP6" s="143" t="s">
        <v>411</v>
      </c>
      <c r="BQ6" s="143" t="s">
        <v>412</v>
      </c>
      <c r="BR6" s="143" t="s">
        <v>413</v>
      </c>
      <c r="BS6" s="145" t="s">
        <v>414</v>
      </c>
      <c r="BT6" s="609"/>
      <c r="BU6" s="146" t="s">
        <v>403</v>
      </c>
      <c r="BV6" s="144" t="s">
        <v>404</v>
      </c>
      <c r="BW6" s="143" t="s">
        <v>405</v>
      </c>
      <c r="BX6" s="143" t="s">
        <v>406</v>
      </c>
      <c r="BY6" s="143" t="s">
        <v>407</v>
      </c>
      <c r="BZ6" s="143" t="s">
        <v>408</v>
      </c>
      <c r="CA6" s="143" t="s">
        <v>409</v>
      </c>
      <c r="CB6" s="143" t="s">
        <v>410</v>
      </c>
      <c r="CC6" s="143" t="s">
        <v>411</v>
      </c>
      <c r="CD6" s="143" t="s">
        <v>412</v>
      </c>
      <c r="CE6" s="143" t="s">
        <v>413</v>
      </c>
      <c r="CF6" s="145" t="s">
        <v>414</v>
      </c>
      <c r="CG6" s="609"/>
      <c r="CH6" s="146" t="s">
        <v>403</v>
      </c>
      <c r="CI6" s="144" t="s">
        <v>404</v>
      </c>
      <c r="CJ6" s="143" t="s">
        <v>405</v>
      </c>
      <c r="CK6" s="143" t="s">
        <v>406</v>
      </c>
      <c r="CL6" s="143" t="s">
        <v>407</v>
      </c>
      <c r="CM6" s="143" t="s">
        <v>408</v>
      </c>
      <c r="CN6" s="143" t="s">
        <v>409</v>
      </c>
      <c r="CO6" s="143" t="s">
        <v>410</v>
      </c>
      <c r="CP6" s="143" t="s">
        <v>411</v>
      </c>
      <c r="CQ6" s="143" t="s">
        <v>412</v>
      </c>
      <c r="CR6" s="143" t="s">
        <v>413</v>
      </c>
      <c r="CS6" s="145" t="s">
        <v>414</v>
      </c>
      <c r="CT6" s="609"/>
      <c r="CV6" s="616"/>
      <c r="CW6" s="614"/>
    </row>
    <row r="7" spans="1:105" s="106" customFormat="1" x14ac:dyDescent="0.2">
      <c r="A7" s="368" t="s">
        <v>415</v>
      </c>
      <c r="B7" s="150"/>
      <c r="C7" s="150"/>
      <c r="D7" s="101"/>
      <c r="E7" s="149"/>
      <c r="F7" s="148"/>
      <c r="G7" s="149"/>
      <c r="H7" s="326"/>
      <c r="I7" s="327"/>
      <c r="J7" s="326"/>
      <c r="K7" s="328"/>
      <c r="L7" s="326"/>
      <c r="M7" s="329"/>
      <c r="N7" s="326"/>
      <c r="O7" s="326"/>
      <c r="P7" s="326"/>
      <c r="Q7" s="326"/>
      <c r="R7" s="326"/>
      <c r="S7" s="330"/>
      <c r="T7" s="150"/>
      <c r="U7" s="384"/>
      <c r="V7" s="328"/>
      <c r="W7" s="326"/>
      <c r="X7" s="326"/>
      <c r="Y7" s="326"/>
      <c r="Z7" s="326"/>
      <c r="AA7" s="326"/>
      <c r="AB7" s="326"/>
      <c r="AC7" s="326"/>
      <c r="AD7" s="326"/>
      <c r="AE7" s="326"/>
      <c r="AF7" s="330"/>
      <c r="AG7" s="151"/>
      <c r="AH7" s="384"/>
      <c r="AI7" s="328"/>
      <c r="AJ7" s="326"/>
      <c r="AK7" s="326"/>
      <c r="AL7" s="326"/>
      <c r="AM7" s="326"/>
      <c r="AN7" s="326"/>
      <c r="AO7" s="326"/>
      <c r="AP7" s="326"/>
      <c r="AQ7" s="326"/>
      <c r="AR7" s="326"/>
      <c r="AS7" s="330"/>
      <c r="AT7" s="150"/>
      <c r="AU7" s="384"/>
      <c r="AV7" s="328"/>
      <c r="AW7" s="326"/>
      <c r="AX7" s="326"/>
      <c r="AY7" s="326"/>
      <c r="AZ7" s="326"/>
      <c r="BA7" s="326"/>
      <c r="BB7" s="326"/>
      <c r="BC7" s="326"/>
      <c r="BD7" s="326"/>
      <c r="BE7" s="326"/>
      <c r="BF7" s="330"/>
      <c r="BG7" s="151"/>
      <c r="BH7" s="384"/>
      <c r="BI7" s="328"/>
      <c r="BJ7" s="326"/>
      <c r="BK7" s="326"/>
      <c r="BL7" s="326"/>
      <c r="BM7" s="326"/>
      <c r="BN7" s="326"/>
      <c r="BO7" s="326"/>
      <c r="BP7" s="326"/>
      <c r="BQ7" s="326"/>
      <c r="BR7" s="326"/>
      <c r="BS7" s="330"/>
      <c r="BT7" s="151"/>
      <c r="BU7" s="384"/>
      <c r="BV7" s="328"/>
      <c r="BW7" s="326"/>
      <c r="BX7" s="326"/>
      <c r="BY7" s="326"/>
      <c r="BZ7" s="326"/>
      <c r="CA7" s="326"/>
      <c r="CB7" s="326"/>
      <c r="CC7" s="326"/>
      <c r="CD7" s="326"/>
      <c r="CE7" s="326"/>
      <c r="CF7" s="330"/>
      <c r="CG7" s="151"/>
      <c r="CH7" s="384"/>
      <c r="CI7" s="328"/>
      <c r="CJ7" s="326"/>
      <c r="CK7" s="326"/>
      <c r="CL7" s="326"/>
      <c r="CM7" s="326"/>
      <c r="CN7" s="326"/>
      <c r="CO7" s="326"/>
      <c r="CP7" s="326"/>
      <c r="CQ7" s="326"/>
      <c r="CR7" s="326"/>
      <c r="CS7" s="330"/>
      <c r="CT7" s="151"/>
      <c r="CV7" s="152"/>
      <c r="CW7" s="153"/>
    </row>
    <row r="8" spans="1:105" s="106" customFormat="1" x14ac:dyDescent="0.2">
      <c r="A8" s="368"/>
      <c r="B8" s="378"/>
      <c r="C8" s="355"/>
      <c r="D8" s="343"/>
      <c r="E8" s="155"/>
      <c r="F8" s="154"/>
      <c r="G8" s="155"/>
      <c r="H8" s="156"/>
      <c r="I8" s="156"/>
      <c r="J8" s="156"/>
      <c r="K8" s="156"/>
      <c r="L8" s="156"/>
      <c r="M8" s="156"/>
      <c r="N8" s="156"/>
      <c r="O8" s="156"/>
      <c r="P8" s="156"/>
      <c r="Q8" s="156"/>
      <c r="R8" s="156"/>
      <c r="S8" s="157"/>
      <c r="T8" s="158"/>
      <c r="U8" s="159"/>
      <c r="V8" s="156"/>
      <c r="W8" s="156"/>
      <c r="X8" s="156"/>
      <c r="Y8" s="156"/>
      <c r="Z8" s="156"/>
      <c r="AA8" s="156"/>
      <c r="AB8" s="156"/>
      <c r="AC8" s="156"/>
      <c r="AD8" s="156"/>
      <c r="AE8" s="156"/>
      <c r="AF8" s="157"/>
      <c r="AG8" s="160"/>
      <c r="AH8" s="159"/>
      <c r="AI8" s="156"/>
      <c r="AJ8" s="156"/>
      <c r="AK8" s="156"/>
      <c r="AL8" s="156"/>
      <c r="AM8" s="156"/>
      <c r="AN8" s="156"/>
      <c r="AO8" s="156"/>
      <c r="AP8" s="156"/>
      <c r="AQ8" s="156"/>
      <c r="AR8" s="156"/>
      <c r="AS8" s="157"/>
      <c r="AT8" s="158"/>
      <c r="AU8" s="159"/>
      <c r="AV8" s="156"/>
      <c r="AW8" s="156"/>
      <c r="AX8" s="156"/>
      <c r="AY8" s="156"/>
      <c r="AZ8" s="156"/>
      <c r="BA8" s="156"/>
      <c r="BB8" s="156"/>
      <c r="BC8" s="156"/>
      <c r="BD8" s="156"/>
      <c r="BE8" s="156"/>
      <c r="BF8" s="157"/>
      <c r="BG8" s="160"/>
      <c r="BH8" s="159"/>
      <c r="BI8" s="156"/>
      <c r="BJ8" s="156"/>
      <c r="BK8" s="156"/>
      <c r="BL8" s="156"/>
      <c r="BM8" s="156"/>
      <c r="BN8" s="156"/>
      <c r="BO8" s="156"/>
      <c r="BP8" s="156"/>
      <c r="BQ8" s="156"/>
      <c r="BR8" s="156"/>
      <c r="BS8" s="157"/>
      <c r="BT8" s="160"/>
      <c r="BU8" s="159"/>
      <c r="BV8" s="156"/>
      <c r="BW8" s="156"/>
      <c r="BX8" s="156"/>
      <c r="BY8" s="156"/>
      <c r="BZ8" s="156"/>
      <c r="CA8" s="156"/>
      <c r="CB8" s="156"/>
      <c r="CC8" s="156"/>
      <c r="CD8" s="156"/>
      <c r="CE8" s="156"/>
      <c r="CF8" s="157"/>
      <c r="CG8" s="160"/>
      <c r="CH8" s="159"/>
      <c r="CI8" s="156"/>
      <c r="CJ8" s="156"/>
      <c r="CK8" s="156"/>
      <c r="CL8" s="156"/>
      <c r="CM8" s="156"/>
      <c r="CN8" s="156"/>
      <c r="CO8" s="156"/>
      <c r="CP8" s="156"/>
      <c r="CQ8" s="156"/>
      <c r="CR8" s="156"/>
      <c r="CS8" s="157"/>
      <c r="CT8" s="160"/>
      <c r="CV8" s="161"/>
      <c r="CW8" s="162"/>
    </row>
    <row r="9" spans="1:105" s="106" customFormat="1" x14ac:dyDescent="0.2">
      <c r="A9" s="369" t="s">
        <v>416</v>
      </c>
      <c r="B9" s="378"/>
      <c r="C9" s="356"/>
      <c r="D9" s="344"/>
      <c r="E9" s="164"/>
      <c r="F9" s="163"/>
      <c r="G9" s="164"/>
      <c r="H9" s="165"/>
      <c r="I9" s="165"/>
      <c r="J9" s="165"/>
      <c r="K9" s="165"/>
      <c r="L9" s="165"/>
      <c r="M9" s="165"/>
      <c r="N9" s="165"/>
      <c r="O9" s="165"/>
      <c r="P9" s="165"/>
      <c r="Q9" s="165"/>
      <c r="R9" s="165"/>
      <c r="S9" s="166"/>
      <c r="T9" s="167"/>
      <c r="U9" s="168"/>
      <c r="V9" s="165"/>
      <c r="W9" s="169"/>
      <c r="X9" s="165"/>
      <c r="Y9" s="165"/>
      <c r="Z9" s="165"/>
      <c r="AA9" s="165"/>
      <c r="AB9" s="165"/>
      <c r="AC9" s="165"/>
      <c r="AD9" s="165"/>
      <c r="AE9" s="165"/>
      <c r="AF9" s="166"/>
      <c r="AG9" s="170"/>
      <c r="AH9" s="168"/>
      <c r="AI9" s="165"/>
      <c r="AJ9" s="165"/>
      <c r="AK9" s="165"/>
      <c r="AL9" s="165"/>
      <c r="AM9" s="165"/>
      <c r="AN9" s="165"/>
      <c r="AO9" s="165"/>
      <c r="AP9" s="165"/>
      <c r="AQ9" s="165"/>
      <c r="AR9" s="165"/>
      <c r="AS9" s="166"/>
      <c r="AT9" s="167"/>
      <c r="AU9" s="168"/>
      <c r="AV9" s="165"/>
      <c r="AW9" s="169"/>
      <c r="AX9" s="165"/>
      <c r="AY9" s="165"/>
      <c r="AZ9" s="165"/>
      <c r="BA9" s="165"/>
      <c r="BB9" s="165"/>
      <c r="BC9" s="165"/>
      <c r="BD9" s="165"/>
      <c r="BE9" s="165"/>
      <c r="BF9" s="166"/>
      <c r="BG9" s="170"/>
      <c r="BH9" s="168"/>
      <c r="BI9" s="165"/>
      <c r="BJ9" s="169"/>
      <c r="BK9" s="165"/>
      <c r="BL9" s="165"/>
      <c r="BM9" s="165"/>
      <c r="BN9" s="165"/>
      <c r="BO9" s="165"/>
      <c r="BP9" s="165"/>
      <c r="BQ9" s="165"/>
      <c r="BR9" s="165"/>
      <c r="BS9" s="166"/>
      <c r="BT9" s="170"/>
      <c r="BU9" s="168"/>
      <c r="BV9" s="165"/>
      <c r="BW9" s="169"/>
      <c r="BX9" s="165"/>
      <c r="BY9" s="165"/>
      <c r="BZ9" s="165"/>
      <c r="CA9" s="165"/>
      <c r="CB9" s="165"/>
      <c r="CC9" s="165"/>
      <c r="CD9" s="165"/>
      <c r="CE9" s="165"/>
      <c r="CF9" s="166"/>
      <c r="CG9" s="170"/>
      <c r="CH9" s="168"/>
      <c r="CI9" s="165"/>
      <c r="CJ9" s="169"/>
      <c r="CK9" s="165"/>
      <c r="CL9" s="165"/>
      <c r="CM9" s="165"/>
      <c r="CN9" s="165"/>
      <c r="CO9" s="165"/>
      <c r="CP9" s="165"/>
      <c r="CQ9" s="165"/>
      <c r="CR9" s="165"/>
      <c r="CS9" s="166"/>
      <c r="CT9" s="170"/>
      <c r="CV9" s="171"/>
      <c r="CW9" s="172"/>
    </row>
    <row r="10" spans="1:105" s="182" customFormat="1" ht="12.75" customHeight="1" x14ac:dyDescent="0.2">
      <c r="A10" s="370" t="s">
        <v>417</v>
      </c>
      <c r="B10" s="379">
        <f>Līdzfinansējums!G35</f>
        <v>886183.21496035927</v>
      </c>
      <c r="C10" s="357">
        <f>B10/$B$13</f>
        <v>1.0000000055974421</v>
      </c>
      <c r="D10" s="345"/>
      <c r="E10" s="174"/>
      <c r="F10" s="173"/>
      <c r="G10" s="174"/>
      <c r="H10" s="331"/>
      <c r="I10" s="331"/>
      <c r="J10" s="331"/>
      <c r="K10" s="331"/>
      <c r="L10" s="331"/>
      <c r="M10" s="331"/>
      <c r="N10" s="331"/>
      <c r="O10" s="331"/>
      <c r="P10" s="331"/>
      <c r="Q10" s="331"/>
      <c r="R10" s="331"/>
      <c r="S10" s="332"/>
      <c r="T10" s="175">
        <f>SUM(H10:S10)</f>
        <v>0</v>
      </c>
      <c r="U10" s="390"/>
      <c r="V10" s="333"/>
      <c r="W10" s="331"/>
      <c r="X10" s="331"/>
      <c r="Y10" s="392"/>
      <c r="Z10" s="331"/>
      <c r="AA10" s="396"/>
      <c r="AB10" s="331"/>
      <c r="AC10" s="335"/>
      <c r="AD10" s="331"/>
      <c r="AE10" s="331"/>
      <c r="AF10" s="332"/>
      <c r="AG10" s="176">
        <f>SUM(U10:AF10)</f>
        <v>0</v>
      </c>
      <c r="AH10" s="390">
        <f>(AE15+AE16)*0.59</f>
        <v>0</v>
      </c>
      <c r="AI10" s="333"/>
      <c r="AJ10" s="392"/>
      <c r="AK10" s="333"/>
      <c r="AL10" s="392"/>
      <c r="AM10" s="331"/>
      <c r="AN10" s="331"/>
      <c r="AO10" s="331"/>
      <c r="AP10" s="336"/>
      <c r="AQ10" s="331"/>
      <c r="AR10" s="331"/>
      <c r="AS10" s="332"/>
      <c r="AT10" s="175">
        <f>SUM(AH10:AS10)</f>
        <v>0</v>
      </c>
      <c r="AU10" s="390"/>
      <c r="AV10" s="333"/>
      <c r="AW10" s="331"/>
      <c r="AX10" s="331"/>
      <c r="AY10" s="385"/>
      <c r="AZ10" s="331"/>
      <c r="BA10" s="336"/>
      <c r="BB10" s="331"/>
      <c r="BC10" s="335"/>
      <c r="BD10" s="334"/>
      <c r="BE10" s="331"/>
      <c r="BF10" s="332"/>
      <c r="BG10" s="176">
        <f>SUM(AU10:BF10)</f>
        <v>0</v>
      </c>
      <c r="BH10" s="390"/>
      <c r="BI10" s="333"/>
      <c r="BJ10" s="331"/>
      <c r="BK10" s="331"/>
      <c r="BL10" s="385"/>
      <c r="BM10" s="331"/>
      <c r="BN10" s="336"/>
      <c r="BO10" s="331"/>
      <c r="BP10" s="335"/>
      <c r="BQ10" s="334"/>
      <c r="BR10" s="331"/>
      <c r="BS10" s="332"/>
      <c r="BT10" s="176">
        <f>SUM(BH10:BS10)</f>
        <v>0</v>
      </c>
      <c r="BU10" s="390"/>
      <c r="BV10" s="333"/>
      <c r="BW10" s="331"/>
      <c r="BX10" s="332"/>
      <c r="BY10" s="333"/>
      <c r="BZ10" s="331"/>
      <c r="CA10" s="336"/>
      <c r="CB10" s="331"/>
      <c r="CC10" s="335"/>
      <c r="CD10" s="334"/>
      <c r="CE10" s="331"/>
      <c r="CF10" s="332"/>
      <c r="CG10" s="176">
        <f>SUM(BU10:CF10)</f>
        <v>0</v>
      </c>
      <c r="CH10" s="390"/>
      <c r="CI10" s="333"/>
      <c r="CJ10" s="331"/>
      <c r="CK10" s="332"/>
      <c r="CL10" s="333"/>
      <c r="CM10" s="331"/>
      <c r="CN10" s="336"/>
      <c r="CO10" s="331"/>
      <c r="CP10" s="335"/>
      <c r="CQ10" s="334"/>
      <c r="CR10" s="331"/>
      <c r="CS10" s="332"/>
      <c r="CT10" s="176">
        <f>SUM(CH10:CS10)</f>
        <v>0</v>
      </c>
      <c r="CU10" s="177"/>
      <c r="CV10" s="178">
        <f>T10+AG10+AT10+BG10+BT10+CG10+CT10</f>
        <v>0</v>
      </c>
      <c r="CW10" s="179" t="e">
        <f>CV10/$CV$13</f>
        <v>#DIV/0!</v>
      </c>
      <c r="CX10" s="180"/>
      <c r="CY10" s="181"/>
      <c r="DA10" s="183"/>
    </row>
    <row r="11" spans="1:105" s="182" customFormat="1" ht="12.75" customHeight="1" x14ac:dyDescent="0.2">
      <c r="A11" s="370" t="s">
        <v>418</v>
      </c>
      <c r="B11" s="379">
        <v>0</v>
      </c>
      <c r="C11" s="357">
        <f>B11/$B$13</f>
        <v>0</v>
      </c>
      <c r="D11" s="346"/>
      <c r="E11" s="174"/>
      <c r="F11" s="178"/>
      <c r="G11" s="174"/>
      <c r="H11" s="331"/>
      <c r="I11" s="331"/>
      <c r="J11" s="333"/>
      <c r="K11" s="333"/>
      <c r="L11" s="331"/>
      <c r="M11" s="334"/>
      <c r="N11" s="333"/>
      <c r="O11" s="331"/>
      <c r="P11" s="335"/>
      <c r="Q11" s="331"/>
      <c r="R11" s="331"/>
      <c r="S11" s="332"/>
      <c r="T11" s="175">
        <f>SUM(H11:S11)</f>
        <v>0</v>
      </c>
      <c r="U11" s="390"/>
      <c r="V11" s="333"/>
      <c r="W11" s="333"/>
      <c r="X11" s="331"/>
      <c r="Y11" s="331"/>
      <c r="Z11" s="331"/>
      <c r="AA11" s="333"/>
      <c r="AB11" s="331"/>
      <c r="AC11" s="335"/>
      <c r="AD11" s="331"/>
      <c r="AE11" s="331"/>
      <c r="AF11" s="332"/>
      <c r="AG11" s="176">
        <f>SUM(U11:AF11)</f>
        <v>0</v>
      </c>
      <c r="AH11" s="390"/>
      <c r="AI11" s="333"/>
      <c r="AJ11" s="333"/>
      <c r="AK11" s="333"/>
      <c r="AL11" s="331"/>
      <c r="AM11" s="331"/>
      <c r="AN11" s="331"/>
      <c r="AO11" s="331"/>
      <c r="AP11" s="331"/>
      <c r="AQ11" s="331"/>
      <c r="AR11" s="331"/>
      <c r="AS11" s="332"/>
      <c r="AT11" s="175">
        <f>SUM(AH11:AS11)</f>
        <v>0</v>
      </c>
      <c r="AU11" s="390"/>
      <c r="AV11" s="333"/>
      <c r="AW11" s="333"/>
      <c r="AX11" s="333"/>
      <c r="AY11" s="331"/>
      <c r="AZ11" s="331"/>
      <c r="BA11" s="333"/>
      <c r="BB11" s="331"/>
      <c r="BC11" s="335"/>
      <c r="BD11" s="331"/>
      <c r="BE11" s="331"/>
      <c r="BF11" s="332"/>
      <c r="BG11" s="176">
        <f>SUM(AU11:BF11)</f>
        <v>0</v>
      </c>
      <c r="BH11" s="390"/>
      <c r="BI11" s="333"/>
      <c r="BJ11" s="333"/>
      <c r="BK11" s="333"/>
      <c r="BL11" s="331"/>
      <c r="BM11" s="331"/>
      <c r="BN11" s="333"/>
      <c r="BO11" s="331"/>
      <c r="BP11" s="335"/>
      <c r="BQ11" s="331"/>
      <c r="BR11" s="331"/>
      <c r="BS11" s="332"/>
      <c r="BT11" s="176">
        <f>SUM(BH11:BS11)</f>
        <v>0</v>
      </c>
      <c r="BU11" s="390"/>
      <c r="BV11" s="333"/>
      <c r="BW11" s="333"/>
      <c r="BX11" s="333"/>
      <c r="BY11" s="331"/>
      <c r="BZ11" s="331"/>
      <c r="CA11" s="333"/>
      <c r="CB11" s="331"/>
      <c r="CC11" s="335"/>
      <c r="CD11" s="331"/>
      <c r="CE11" s="331"/>
      <c r="CF11" s="332"/>
      <c r="CG11" s="176">
        <f>SUM(BU11:CF11)</f>
        <v>0</v>
      </c>
      <c r="CH11" s="390"/>
      <c r="CI11" s="333"/>
      <c r="CJ11" s="333"/>
      <c r="CK11" s="333"/>
      <c r="CL11" s="331"/>
      <c r="CM11" s="331"/>
      <c r="CN11" s="333"/>
      <c r="CO11" s="331"/>
      <c r="CP11" s="335"/>
      <c r="CQ11" s="331"/>
      <c r="CR11" s="331"/>
      <c r="CS11" s="332"/>
      <c r="CT11" s="176">
        <f>SUM(CH11:CS11)</f>
        <v>0</v>
      </c>
      <c r="CU11" s="177"/>
      <c r="CV11" s="178">
        <f>T11+AG11+AT11+BG11+BT11+CG11+CT11</f>
        <v>0</v>
      </c>
      <c r="CW11" s="179" t="e">
        <f>CV11/$CV$13</f>
        <v>#DIV/0!</v>
      </c>
      <c r="CX11" s="180"/>
      <c r="CY11" s="181"/>
      <c r="DA11" s="183"/>
    </row>
    <row r="12" spans="1:105" s="182" customFormat="1" ht="12.75" customHeight="1" thickBot="1" x14ac:dyDescent="0.25">
      <c r="A12" s="370" t="s">
        <v>228</v>
      </c>
      <c r="B12" s="379">
        <f>Līdzfinansējums!D50</f>
        <v>-4.9603591905906796E-3</v>
      </c>
      <c r="C12" s="357">
        <f>B12/$B$13</f>
        <v>-5.5974420803917952E-9</v>
      </c>
      <c r="D12" s="347"/>
      <c r="E12" s="174"/>
      <c r="F12" s="184"/>
      <c r="G12" s="174"/>
      <c r="H12" s="331"/>
      <c r="I12" s="331"/>
      <c r="J12" s="333"/>
      <c r="K12" s="331"/>
      <c r="L12" s="336"/>
      <c r="M12" s="334"/>
      <c r="N12" s="336"/>
      <c r="O12" s="331"/>
      <c r="P12" s="335"/>
      <c r="Q12" s="331"/>
      <c r="R12" s="331"/>
      <c r="S12" s="332"/>
      <c r="T12" s="175">
        <f>SUM(H12:S12)</f>
        <v>0</v>
      </c>
      <c r="U12" s="391"/>
      <c r="V12" s="331"/>
      <c r="W12" s="333"/>
      <c r="X12" s="333"/>
      <c r="Y12" s="331"/>
      <c r="Z12" s="331"/>
      <c r="AA12" s="333"/>
      <c r="AB12" s="331"/>
      <c r="AC12" s="335"/>
      <c r="AD12" s="331"/>
      <c r="AE12" s="331"/>
      <c r="AF12" s="332"/>
      <c r="AG12" s="176">
        <f>SUM(U12:AF12)</f>
        <v>0</v>
      </c>
      <c r="AH12" s="390"/>
      <c r="AI12" s="333"/>
      <c r="AJ12" s="392"/>
      <c r="AK12" s="331"/>
      <c r="AL12" s="331"/>
      <c r="AM12" s="331"/>
      <c r="AN12" s="331"/>
      <c r="AO12" s="331"/>
      <c r="AP12" s="331"/>
      <c r="AQ12" s="331"/>
      <c r="AR12" s="331"/>
      <c r="AS12" s="332"/>
      <c r="AT12" s="175">
        <f>SUM(AH12:AS12)</f>
        <v>0</v>
      </c>
      <c r="AU12" s="390"/>
      <c r="AV12" s="331"/>
      <c r="AW12" s="333"/>
      <c r="AX12" s="331"/>
      <c r="AY12" s="331"/>
      <c r="AZ12" s="331"/>
      <c r="BA12" s="333"/>
      <c r="BB12" s="331"/>
      <c r="BC12" s="335"/>
      <c r="BD12" s="331"/>
      <c r="BE12" s="331"/>
      <c r="BF12" s="332"/>
      <c r="BG12" s="176">
        <f>SUM(AU12:BF12)</f>
        <v>0</v>
      </c>
      <c r="BH12" s="390"/>
      <c r="BI12" s="331"/>
      <c r="BJ12" s="333"/>
      <c r="BK12" s="331"/>
      <c r="BL12" s="331"/>
      <c r="BM12" s="331"/>
      <c r="BN12" s="333"/>
      <c r="BO12" s="331"/>
      <c r="BP12" s="335"/>
      <c r="BQ12" s="331"/>
      <c r="BR12" s="331"/>
      <c r="BS12" s="332"/>
      <c r="BT12" s="176">
        <f>SUM(BH12:BS12)</f>
        <v>0</v>
      </c>
      <c r="BU12" s="390"/>
      <c r="BV12" s="331"/>
      <c r="BW12" s="333"/>
      <c r="BX12" s="331"/>
      <c r="BY12" s="331"/>
      <c r="BZ12" s="331"/>
      <c r="CA12" s="333"/>
      <c r="CB12" s="331"/>
      <c r="CC12" s="335"/>
      <c r="CD12" s="331"/>
      <c r="CE12" s="331"/>
      <c r="CF12" s="332"/>
      <c r="CG12" s="176">
        <f>SUM(BU12:CF12)</f>
        <v>0</v>
      </c>
      <c r="CH12" s="390"/>
      <c r="CI12" s="331"/>
      <c r="CJ12" s="333"/>
      <c r="CK12" s="331"/>
      <c r="CL12" s="331"/>
      <c r="CM12" s="331"/>
      <c r="CN12" s="333"/>
      <c r="CO12" s="331"/>
      <c r="CP12" s="335"/>
      <c r="CQ12" s="331"/>
      <c r="CR12" s="331"/>
      <c r="CS12" s="332"/>
      <c r="CT12" s="176">
        <f>SUM(CH12:CS12)</f>
        <v>0</v>
      </c>
      <c r="CU12" s="177"/>
      <c r="CV12" s="178">
        <f>T12+AG12+AT12+BG12+BT12+CG12+CT12</f>
        <v>0</v>
      </c>
      <c r="CW12" s="179" t="e">
        <f>CV12/$CV$13</f>
        <v>#DIV/0!</v>
      </c>
      <c r="CX12" s="180"/>
      <c r="CY12" s="181"/>
      <c r="DA12" s="183"/>
    </row>
    <row r="13" spans="1:105" s="108" customFormat="1" ht="26.25" customHeight="1" thickBot="1" x14ac:dyDescent="0.25">
      <c r="A13" s="371" t="s">
        <v>419</v>
      </c>
      <c r="B13" s="380">
        <f>SUM(B10:B12)</f>
        <v>886183.21000000008</v>
      </c>
      <c r="C13" s="358">
        <f>SUM(C10:C12)</f>
        <v>1</v>
      </c>
      <c r="D13" s="348"/>
      <c r="E13" s="186"/>
      <c r="F13" s="185"/>
      <c r="G13" s="186"/>
      <c r="H13" s="187">
        <f t="shared" ref="H13:S13" si="0">SUM(H10:H12)</f>
        <v>0</v>
      </c>
      <c r="I13" s="187">
        <f t="shared" si="0"/>
        <v>0</v>
      </c>
      <c r="J13" s="187">
        <f t="shared" si="0"/>
        <v>0</v>
      </c>
      <c r="K13" s="187">
        <f t="shared" si="0"/>
        <v>0</v>
      </c>
      <c r="L13" s="187">
        <f t="shared" si="0"/>
        <v>0</v>
      </c>
      <c r="M13" s="187">
        <f t="shared" si="0"/>
        <v>0</v>
      </c>
      <c r="N13" s="187">
        <f t="shared" si="0"/>
        <v>0</v>
      </c>
      <c r="O13" s="187">
        <f t="shared" si="0"/>
        <v>0</v>
      </c>
      <c r="P13" s="187">
        <f t="shared" si="0"/>
        <v>0</v>
      </c>
      <c r="Q13" s="187">
        <f t="shared" si="0"/>
        <v>0</v>
      </c>
      <c r="R13" s="187">
        <f t="shared" si="0"/>
        <v>0</v>
      </c>
      <c r="S13" s="188">
        <f t="shared" si="0"/>
        <v>0</v>
      </c>
      <c r="T13" s="189">
        <f>SUM(H13:S13)</f>
        <v>0</v>
      </c>
      <c r="U13" s="190">
        <f t="shared" ref="U13:AF13" si="1">SUM(U10:U12)</f>
        <v>0</v>
      </c>
      <c r="V13" s="187">
        <f t="shared" si="1"/>
        <v>0</v>
      </c>
      <c r="W13" s="187">
        <f t="shared" si="1"/>
        <v>0</v>
      </c>
      <c r="X13" s="187">
        <f t="shared" si="1"/>
        <v>0</v>
      </c>
      <c r="Y13" s="187">
        <f t="shared" si="1"/>
        <v>0</v>
      </c>
      <c r="Z13" s="187">
        <f t="shared" si="1"/>
        <v>0</v>
      </c>
      <c r="AA13" s="187">
        <f t="shared" si="1"/>
        <v>0</v>
      </c>
      <c r="AB13" s="187">
        <f t="shared" si="1"/>
        <v>0</v>
      </c>
      <c r="AC13" s="187">
        <f t="shared" si="1"/>
        <v>0</v>
      </c>
      <c r="AD13" s="187">
        <f t="shared" si="1"/>
        <v>0</v>
      </c>
      <c r="AE13" s="187">
        <f t="shared" si="1"/>
        <v>0</v>
      </c>
      <c r="AF13" s="188">
        <f t="shared" si="1"/>
        <v>0</v>
      </c>
      <c r="AG13" s="189">
        <f>SUM(U13:AF13)</f>
        <v>0</v>
      </c>
      <c r="AH13" s="190">
        <f t="shared" ref="AH13:AS13" si="2">SUM(AH10:AH12)</f>
        <v>0</v>
      </c>
      <c r="AI13" s="187">
        <f t="shared" si="2"/>
        <v>0</v>
      </c>
      <c r="AJ13" s="187">
        <f t="shared" si="2"/>
        <v>0</v>
      </c>
      <c r="AK13" s="187">
        <f t="shared" si="2"/>
        <v>0</v>
      </c>
      <c r="AL13" s="187">
        <f t="shared" si="2"/>
        <v>0</v>
      </c>
      <c r="AM13" s="187">
        <f t="shared" si="2"/>
        <v>0</v>
      </c>
      <c r="AN13" s="187">
        <f t="shared" si="2"/>
        <v>0</v>
      </c>
      <c r="AO13" s="187">
        <f t="shared" si="2"/>
        <v>0</v>
      </c>
      <c r="AP13" s="187">
        <f t="shared" si="2"/>
        <v>0</v>
      </c>
      <c r="AQ13" s="187">
        <f t="shared" si="2"/>
        <v>0</v>
      </c>
      <c r="AR13" s="187">
        <f t="shared" si="2"/>
        <v>0</v>
      </c>
      <c r="AS13" s="188">
        <f t="shared" si="2"/>
        <v>0</v>
      </c>
      <c r="AT13" s="189">
        <f>SUM(AH13:AS13)</f>
        <v>0</v>
      </c>
      <c r="AU13" s="190">
        <f t="shared" ref="AU13:BF13" si="3">SUM(AU10:AU12)</f>
        <v>0</v>
      </c>
      <c r="AV13" s="187">
        <f t="shared" si="3"/>
        <v>0</v>
      </c>
      <c r="AW13" s="187">
        <f t="shared" si="3"/>
        <v>0</v>
      </c>
      <c r="AX13" s="187">
        <f t="shared" si="3"/>
        <v>0</v>
      </c>
      <c r="AY13" s="187">
        <f t="shared" si="3"/>
        <v>0</v>
      </c>
      <c r="AZ13" s="187">
        <f t="shared" si="3"/>
        <v>0</v>
      </c>
      <c r="BA13" s="187">
        <f t="shared" si="3"/>
        <v>0</v>
      </c>
      <c r="BB13" s="187">
        <f t="shared" si="3"/>
        <v>0</v>
      </c>
      <c r="BC13" s="187">
        <f t="shared" si="3"/>
        <v>0</v>
      </c>
      <c r="BD13" s="187">
        <f t="shared" si="3"/>
        <v>0</v>
      </c>
      <c r="BE13" s="187">
        <f t="shared" si="3"/>
        <v>0</v>
      </c>
      <c r="BF13" s="188">
        <f t="shared" si="3"/>
        <v>0</v>
      </c>
      <c r="BG13" s="189">
        <f>SUM(AU13:BF13)</f>
        <v>0</v>
      </c>
      <c r="BH13" s="190">
        <f t="shared" ref="BH13:BS13" si="4">SUM(BH10:BH12)</f>
        <v>0</v>
      </c>
      <c r="BI13" s="187">
        <f t="shared" si="4"/>
        <v>0</v>
      </c>
      <c r="BJ13" s="187">
        <f t="shared" si="4"/>
        <v>0</v>
      </c>
      <c r="BK13" s="187">
        <f t="shared" si="4"/>
        <v>0</v>
      </c>
      <c r="BL13" s="187">
        <f t="shared" si="4"/>
        <v>0</v>
      </c>
      <c r="BM13" s="187">
        <f t="shared" si="4"/>
        <v>0</v>
      </c>
      <c r="BN13" s="187">
        <f t="shared" si="4"/>
        <v>0</v>
      </c>
      <c r="BO13" s="187">
        <f t="shared" si="4"/>
        <v>0</v>
      </c>
      <c r="BP13" s="187">
        <f t="shared" si="4"/>
        <v>0</v>
      </c>
      <c r="BQ13" s="187">
        <f t="shared" si="4"/>
        <v>0</v>
      </c>
      <c r="BR13" s="187">
        <f t="shared" si="4"/>
        <v>0</v>
      </c>
      <c r="BS13" s="188">
        <f t="shared" si="4"/>
        <v>0</v>
      </c>
      <c r="BT13" s="189">
        <f>SUM(BH13:BS13)</f>
        <v>0</v>
      </c>
      <c r="BU13" s="190">
        <f t="shared" ref="BU13:CF13" si="5">SUM(BU10:BU12)</f>
        <v>0</v>
      </c>
      <c r="BV13" s="187">
        <f t="shared" si="5"/>
        <v>0</v>
      </c>
      <c r="BW13" s="187">
        <f t="shared" si="5"/>
        <v>0</v>
      </c>
      <c r="BX13" s="187">
        <f t="shared" si="5"/>
        <v>0</v>
      </c>
      <c r="BY13" s="187">
        <f t="shared" si="5"/>
        <v>0</v>
      </c>
      <c r="BZ13" s="187">
        <f t="shared" si="5"/>
        <v>0</v>
      </c>
      <c r="CA13" s="187">
        <f t="shared" si="5"/>
        <v>0</v>
      </c>
      <c r="CB13" s="187">
        <f t="shared" si="5"/>
        <v>0</v>
      </c>
      <c r="CC13" s="187">
        <f t="shared" si="5"/>
        <v>0</v>
      </c>
      <c r="CD13" s="187">
        <f t="shared" si="5"/>
        <v>0</v>
      </c>
      <c r="CE13" s="187">
        <f t="shared" si="5"/>
        <v>0</v>
      </c>
      <c r="CF13" s="188">
        <f t="shared" si="5"/>
        <v>0</v>
      </c>
      <c r="CG13" s="189">
        <f>SUM(BU13:CF13)</f>
        <v>0</v>
      </c>
      <c r="CH13" s="190">
        <f t="shared" ref="CH13:CS13" si="6">SUM(CH10:CH12)</f>
        <v>0</v>
      </c>
      <c r="CI13" s="187">
        <f t="shared" si="6"/>
        <v>0</v>
      </c>
      <c r="CJ13" s="187">
        <f t="shared" si="6"/>
        <v>0</v>
      </c>
      <c r="CK13" s="187">
        <f t="shared" si="6"/>
        <v>0</v>
      </c>
      <c r="CL13" s="187">
        <f t="shared" si="6"/>
        <v>0</v>
      </c>
      <c r="CM13" s="187">
        <f t="shared" si="6"/>
        <v>0</v>
      </c>
      <c r="CN13" s="187">
        <f t="shared" si="6"/>
        <v>0</v>
      </c>
      <c r="CO13" s="187">
        <f t="shared" si="6"/>
        <v>0</v>
      </c>
      <c r="CP13" s="187">
        <f t="shared" si="6"/>
        <v>0</v>
      </c>
      <c r="CQ13" s="187">
        <f t="shared" si="6"/>
        <v>0</v>
      </c>
      <c r="CR13" s="187">
        <f t="shared" si="6"/>
        <v>0</v>
      </c>
      <c r="CS13" s="188">
        <f t="shared" si="6"/>
        <v>0</v>
      </c>
      <c r="CT13" s="189">
        <f>SUM(CH13:CS13)</f>
        <v>0</v>
      </c>
      <c r="CU13" s="191"/>
      <c r="CV13" s="185">
        <f>SUM(CV10:CV12)</f>
        <v>0</v>
      </c>
      <c r="CW13" s="192" t="e">
        <f>SUM(CW10:CW12)</f>
        <v>#DIV/0!</v>
      </c>
      <c r="CX13" s="180"/>
    </row>
    <row r="14" spans="1:105" s="106" customFormat="1" ht="12.75" customHeight="1" x14ac:dyDescent="0.2">
      <c r="A14" s="369" t="s">
        <v>420</v>
      </c>
      <c r="B14" s="204"/>
      <c r="C14" s="359"/>
      <c r="D14" s="349"/>
      <c r="E14" s="195"/>
      <c r="F14" s="194"/>
      <c r="G14" s="195"/>
      <c r="H14" s="196"/>
      <c r="I14" s="193"/>
      <c r="J14" s="193"/>
      <c r="K14" s="193"/>
      <c r="L14" s="193"/>
      <c r="M14" s="193"/>
      <c r="N14" s="193"/>
      <c r="O14" s="193"/>
      <c r="P14" s="193"/>
      <c r="Q14" s="193"/>
      <c r="R14" s="193"/>
      <c r="S14" s="197"/>
      <c r="T14" s="198"/>
      <c r="U14" s="196"/>
      <c r="V14" s="193"/>
      <c r="W14" s="193"/>
      <c r="X14" s="193"/>
      <c r="Y14" s="193"/>
      <c r="Z14" s="193"/>
      <c r="AA14" s="193"/>
      <c r="AB14" s="193"/>
      <c r="AC14" s="193"/>
      <c r="AD14" s="193"/>
      <c r="AE14" s="193"/>
      <c r="AF14" s="197"/>
      <c r="AG14" s="199"/>
      <c r="AH14" s="196"/>
      <c r="AI14" s="193"/>
      <c r="AJ14" s="193"/>
      <c r="AK14" s="193"/>
      <c r="AL14" s="193"/>
      <c r="AM14" s="193"/>
      <c r="AN14" s="193"/>
      <c r="AO14" s="193"/>
      <c r="AP14" s="193"/>
      <c r="AQ14" s="193"/>
      <c r="AR14" s="193"/>
      <c r="AS14" s="197"/>
      <c r="AT14" s="198"/>
      <c r="AU14" s="196"/>
      <c r="AV14" s="193"/>
      <c r="AW14" s="193"/>
      <c r="AX14" s="193"/>
      <c r="AY14" s="193"/>
      <c r="AZ14" s="193"/>
      <c r="BA14" s="193"/>
      <c r="BB14" s="193"/>
      <c r="BC14" s="193"/>
      <c r="BD14" s="193"/>
      <c r="BE14" s="193"/>
      <c r="BF14" s="197"/>
      <c r="BG14" s="199"/>
      <c r="BH14" s="196"/>
      <c r="BI14" s="193"/>
      <c r="BJ14" s="193"/>
      <c r="BK14" s="193"/>
      <c r="BL14" s="193"/>
      <c r="BM14" s="193"/>
      <c r="BN14" s="193"/>
      <c r="BO14" s="193"/>
      <c r="BP14" s="193"/>
      <c r="BQ14" s="193"/>
      <c r="BR14" s="193"/>
      <c r="BS14" s="197"/>
      <c r="BT14" s="199"/>
      <c r="BU14" s="196"/>
      <c r="BV14" s="193"/>
      <c r="BW14" s="193"/>
      <c r="BX14" s="193"/>
      <c r="BY14" s="193"/>
      <c r="BZ14" s="193"/>
      <c r="CA14" s="193"/>
      <c r="CB14" s="193"/>
      <c r="CC14" s="193"/>
      <c r="CD14" s="193"/>
      <c r="CE14" s="193"/>
      <c r="CF14" s="197"/>
      <c r="CG14" s="199"/>
      <c r="CH14" s="196"/>
      <c r="CI14" s="193"/>
      <c r="CJ14" s="193"/>
      <c r="CK14" s="193"/>
      <c r="CL14" s="193"/>
      <c r="CM14" s="193"/>
      <c r="CN14" s="193"/>
      <c r="CO14" s="193"/>
      <c r="CP14" s="193"/>
      <c r="CQ14" s="193"/>
      <c r="CR14" s="193"/>
      <c r="CS14" s="197"/>
      <c r="CT14" s="199"/>
      <c r="CU14" s="200"/>
      <c r="CV14" s="201"/>
      <c r="CW14" s="202"/>
      <c r="CX14" s="180"/>
    </row>
    <row r="15" spans="1:105" s="106" customFormat="1" x14ac:dyDescent="0.2">
      <c r="A15" s="372" t="s">
        <v>421</v>
      </c>
      <c r="B15" s="379">
        <f>SUM('Datu ievade'!B60:H60)</f>
        <v>825158.88238887559</v>
      </c>
      <c r="C15" s="359">
        <f>B15/$B$19</f>
        <v>0.94180639608922367</v>
      </c>
      <c r="D15" s="196"/>
      <c r="E15" s="195"/>
      <c r="F15" s="203"/>
      <c r="G15" s="195"/>
      <c r="H15" s="337"/>
      <c r="I15" s="337"/>
      <c r="J15" s="337"/>
      <c r="K15" s="337"/>
      <c r="L15" s="338"/>
      <c r="M15" s="337"/>
      <c r="N15" s="338"/>
      <c r="O15" s="337"/>
      <c r="P15" s="337"/>
      <c r="Q15" s="337"/>
      <c r="R15" s="337"/>
      <c r="S15" s="339"/>
      <c r="T15" s="204">
        <f>SUM(H15:S15)</f>
        <v>0</v>
      </c>
      <c r="U15" s="337"/>
      <c r="V15" s="337"/>
      <c r="W15" s="337"/>
      <c r="X15" s="337"/>
      <c r="Y15" s="337"/>
      <c r="Z15" s="337"/>
      <c r="AA15" s="337"/>
      <c r="AB15" s="337"/>
      <c r="AC15" s="337"/>
      <c r="AD15" s="337"/>
      <c r="AE15" s="337"/>
      <c r="AF15" s="339"/>
      <c r="AG15" s="140">
        <f>SUM(U15:AF15)</f>
        <v>0</v>
      </c>
      <c r="AH15" s="337"/>
      <c r="AI15" s="337"/>
      <c r="AJ15" s="337"/>
      <c r="AK15" s="337"/>
      <c r="AL15" s="337"/>
      <c r="AM15" s="337"/>
      <c r="AN15" s="337"/>
      <c r="AO15" s="337"/>
      <c r="AP15" s="337"/>
      <c r="AQ15" s="337"/>
      <c r="AR15" s="337"/>
      <c r="AS15" s="339"/>
      <c r="AT15" s="204">
        <f>SUM(AH15:AS15)</f>
        <v>0</v>
      </c>
      <c r="AU15" s="337"/>
      <c r="AV15" s="337"/>
      <c r="AW15" s="337"/>
      <c r="AX15" s="337"/>
      <c r="AY15" s="337"/>
      <c r="AZ15" s="337"/>
      <c r="BA15" s="337"/>
      <c r="BB15" s="337"/>
      <c r="BC15" s="337"/>
      <c r="BD15" s="337"/>
      <c r="BE15" s="337"/>
      <c r="BF15" s="339"/>
      <c r="BG15" s="140">
        <f>SUM(AU15:BF15)</f>
        <v>0</v>
      </c>
      <c r="BH15" s="337"/>
      <c r="BI15" s="337"/>
      <c r="BJ15" s="337"/>
      <c r="BK15" s="337"/>
      <c r="BL15" s="337"/>
      <c r="BM15" s="337"/>
      <c r="BN15" s="337"/>
      <c r="BO15" s="337"/>
      <c r="BP15" s="337"/>
      <c r="BQ15" s="337"/>
      <c r="BR15" s="337"/>
      <c r="BS15" s="339"/>
      <c r="BT15" s="140">
        <f>SUM(BH15:BS15)</f>
        <v>0</v>
      </c>
      <c r="BU15" s="337"/>
      <c r="BV15" s="337"/>
      <c r="BW15" s="337"/>
      <c r="BX15" s="337"/>
      <c r="BY15" s="337"/>
      <c r="BZ15" s="337"/>
      <c r="CA15" s="337"/>
      <c r="CB15" s="337"/>
      <c r="CC15" s="337"/>
      <c r="CD15" s="337"/>
      <c r="CE15" s="337"/>
      <c r="CF15" s="339"/>
      <c r="CG15" s="140">
        <f>SUM(BU15:CF15)</f>
        <v>0</v>
      </c>
      <c r="CH15" s="337"/>
      <c r="CI15" s="337"/>
      <c r="CJ15" s="337"/>
      <c r="CK15" s="337"/>
      <c r="CL15" s="337"/>
      <c r="CM15" s="337"/>
      <c r="CN15" s="337"/>
      <c r="CO15" s="337"/>
      <c r="CP15" s="337"/>
      <c r="CQ15" s="337"/>
      <c r="CR15" s="337"/>
      <c r="CS15" s="339"/>
      <c r="CT15" s="140">
        <f>SUM(CH15:CS15)</f>
        <v>0</v>
      </c>
      <c r="CU15" s="200"/>
      <c r="CV15" s="178">
        <f>T15+AG15+AT15+BG15+BT15+CG15+CT15</f>
        <v>0</v>
      </c>
      <c r="CW15" s="202" t="e">
        <f>CV15/$CV$19</f>
        <v>#DIV/0!</v>
      </c>
      <c r="CX15" s="180"/>
    </row>
    <row r="16" spans="1:105" s="106" customFormat="1" x14ac:dyDescent="0.2">
      <c r="A16" s="372" t="s">
        <v>422</v>
      </c>
      <c r="B16" s="379">
        <f>SUM('Datu ievade'!B62:H62)</f>
        <v>50986.030000000006</v>
      </c>
      <c r="C16" s="359">
        <f>B16/$B$19</f>
        <v>5.819360391077627E-2</v>
      </c>
      <c r="D16" s="196"/>
      <c r="E16" s="195"/>
      <c r="F16" s="203"/>
      <c r="G16" s="195"/>
      <c r="H16" s="337"/>
      <c r="I16" s="337"/>
      <c r="J16" s="337"/>
      <c r="K16" s="337"/>
      <c r="L16" s="338"/>
      <c r="M16" s="337"/>
      <c r="N16" s="338"/>
      <c r="O16" s="337"/>
      <c r="P16" s="337"/>
      <c r="Q16" s="337"/>
      <c r="R16" s="337"/>
      <c r="S16" s="339"/>
      <c r="T16" s="204">
        <f>SUM(H16:S16)</f>
        <v>0</v>
      </c>
      <c r="U16" s="337"/>
      <c r="V16" s="337"/>
      <c r="W16" s="337"/>
      <c r="X16" s="337"/>
      <c r="Y16" s="337"/>
      <c r="Z16" s="337"/>
      <c r="AA16" s="337"/>
      <c r="AB16" s="337"/>
      <c r="AC16" s="337"/>
      <c r="AD16" s="337"/>
      <c r="AE16" s="337"/>
      <c r="AF16" s="339"/>
      <c r="AG16" s="140">
        <f>SUM(U16:AF16)</f>
        <v>0</v>
      </c>
      <c r="AH16" s="337"/>
      <c r="AI16" s="337"/>
      <c r="AJ16" s="337"/>
      <c r="AK16" s="337"/>
      <c r="AL16" s="337"/>
      <c r="AM16" s="337"/>
      <c r="AN16" s="337"/>
      <c r="AO16" s="337"/>
      <c r="AP16" s="337"/>
      <c r="AQ16" s="337"/>
      <c r="AR16" s="337"/>
      <c r="AS16" s="339"/>
      <c r="AT16" s="204">
        <f>SUM(AH16:AS16)</f>
        <v>0</v>
      </c>
      <c r="AU16" s="337"/>
      <c r="AV16" s="337"/>
      <c r="AW16" s="337"/>
      <c r="AX16" s="337"/>
      <c r="AY16" s="337"/>
      <c r="AZ16" s="337"/>
      <c r="BA16" s="337"/>
      <c r="BB16" s="337"/>
      <c r="BC16" s="337"/>
      <c r="BD16" s="337"/>
      <c r="BE16" s="337"/>
      <c r="BF16" s="339"/>
      <c r="BG16" s="140">
        <f>SUM(AU16:BF16)</f>
        <v>0</v>
      </c>
      <c r="BH16" s="337"/>
      <c r="BI16" s="337"/>
      <c r="BJ16" s="337"/>
      <c r="BK16" s="337"/>
      <c r="BL16" s="337"/>
      <c r="BM16" s="337"/>
      <c r="BN16" s="337"/>
      <c r="BO16" s="337"/>
      <c r="BP16" s="337"/>
      <c r="BQ16" s="337"/>
      <c r="BR16" s="337"/>
      <c r="BS16" s="339"/>
      <c r="BT16" s="140">
        <f>SUM(BH16:BS16)</f>
        <v>0</v>
      </c>
      <c r="BU16" s="337"/>
      <c r="BV16" s="337"/>
      <c r="BW16" s="337"/>
      <c r="BX16" s="337"/>
      <c r="BY16" s="337"/>
      <c r="BZ16" s="337"/>
      <c r="CA16" s="337"/>
      <c r="CB16" s="337"/>
      <c r="CC16" s="337"/>
      <c r="CD16" s="337"/>
      <c r="CE16" s="337"/>
      <c r="CF16" s="339"/>
      <c r="CG16" s="140">
        <f>SUM(BU16:CF16)</f>
        <v>0</v>
      </c>
      <c r="CH16" s="337"/>
      <c r="CI16" s="337"/>
      <c r="CJ16" s="337"/>
      <c r="CK16" s="337"/>
      <c r="CL16" s="337"/>
      <c r="CM16" s="337"/>
      <c r="CN16" s="337"/>
      <c r="CO16" s="337"/>
      <c r="CP16" s="337"/>
      <c r="CQ16" s="337"/>
      <c r="CR16" s="337"/>
      <c r="CS16" s="339"/>
      <c r="CT16" s="140">
        <f>SUM(CH16:CS16)</f>
        <v>0</v>
      </c>
      <c r="CU16" s="200"/>
      <c r="CV16" s="178">
        <f>T16+AG16+AT16+BG16+BT16+CG16+CT16</f>
        <v>0</v>
      </c>
      <c r="CW16" s="202" t="e">
        <f>CV16/$CV$19</f>
        <v>#DIV/0!</v>
      </c>
      <c r="CX16" s="180"/>
    </row>
    <row r="17" spans="1:102" s="106" customFormat="1" x14ac:dyDescent="0.2">
      <c r="A17" s="372" t="s">
        <v>423</v>
      </c>
      <c r="B17" s="379">
        <f>SUM('Datu ievade'!B64:H64)</f>
        <v>0</v>
      </c>
      <c r="C17" s="359">
        <f>B17/$B$19</f>
        <v>0</v>
      </c>
      <c r="D17" s="196"/>
      <c r="E17" s="195"/>
      <c r="F17" s="203"/>
      <c r="G17" s="195"/>
      <c r="H17" s="337"/>
      <c r="I17" s="337"/>
      <c r="J17" s="337"/>
      <c r="K17" s="337"/>
      <c r="L17" s="338"/>
      <c r="M17" s="337"/>
      <c r="N17" s="338"/>
      <c r="O17" s="337"/>
      <c r="P17" s="337"/>
      <c r="Q17" s="337"/>
      <c r="R17" s="337"/>
      <c r="S17" s="339"/>
      <c r="T17" s="204">
        <f>SUM(H17:S17)</f>
        <v>0</v>
      </c>
      <c r="U17" s="337"/>
      <c r="V17" s="337"/>
      <c r="W17" s="337"/>
      <c r="X17" s="337"/>
      <c r="Y17" s="337"/>
      <c r="Z17" s="337"/>
      <c r="AA17" s="337"/>
      <c r="AB17" s="337"/>
      <c r="AC17" s="337"/>
      <c r="AD17" s="337"/>
      <c r="AE17" s="337"/>
      <c r="AF17" s="339"/>
      <c r="AG17" s="140">
        <f>SUM(U17:AF17)</f>
        <v>0</v>
      </c>
      <c r="AH17" s="337"/>
      <c r="AI17" s="337"/>
      <c r="AJ17" s="337"/>
      <c r="AK17" s="337"/>
      <c r="AL17" s="337"/>
      <c r="AM17" s="337"/>
      <c r="AN17" s="337"/>
      <c r="AO17" s="337"/>
      <c r="AP17" s="337"/>
      <c r="AQ17" s="337"/>
      <c r="AR17" s="337"/>
      <c r="AS17" s="339"/>
      <c r="AT17" s="204">
        <f>SUM(AH17:AS17)</f>
        <v>0</v>
      </c>
      <c r="AU17" s="337"/>
      <c r="AV17" s="337"/>
      <c r="AW17" s="337"/>
      <c r="AX17" s="337"/>
      <c r="AY17" s="337"/>
      <c r="AZ17" s="337"/>
      <c r="BA17" s="337"/>
      <c r="BB17" s="337"/>
      <c r="BC17" s="337"/>
      <c r="BD17" s="337"/>
      <c r="BE17" s="337"/>
      <c r="BF17" s="339"/>
      <c r="BG17" s="140">
        <f>SUM(AU17:BF17)</f>
        <v>0</v>
      </c>
      <c r="BH17" s="337"/>
      <c r="BI17" s="337"/>
      <c r="BJ17" s="337"/>
      <c r="BK17" s="337"/>
      <c r="BL17" s="337"/>
      <c r="BM17" s="337"/>
      <c r="BN17" s="337"/>
      <c r="BO17" s="337"/>
      <c r="BP17" s="337"/>
      <c r="BQ17" s="337"/>
      <c r="BR17" s="337"/>
      <c r="BS17" s="339"/>
      <c r="BT17" s="140">
        <f>SUM(BH17:BS17)</f>
        <v>0</v>
      </c>
      <c r="BU17" s="337"/>
      <c r="BV17" s="337"/>
      <c r="BW17" s="337"/>
      <c r="BX17" s="337"/>
      <c r="BY17" s="337"/>
      <c r="BZ17" s="337"/>
      <c r="CA17" s="337"/>
      <c r="CB17" s="337"/>
      <c r="CC17" s="337"/>
      <c r="CD17" s="337"/>
      <c r="CE17" s="337"/>
      <c r="CF17" s="339"/>
      <c r="CG17" s="140">
        <f>SUM(BU17:CF17)</f>
        <v>0</v>
      </c>
      <c r="CH17" s="337"/>
      <c r="CI17" s="337"/>
      <c r="CJ17" s="337"/>
      <c r="CK17" s="337"/>
      <c r="CL17" s="337"/>
      <c r="CM17" s="337"/>
      <c r="CN17" s="337"/>
      <c r="CO17" s="337"/>
      <c r="CP17" s="337"/>
      <c r="CQ17" s="337"/>
      <c r="CR17" s="337"/>
      <c r="CS17" s="339"/>
      <c r="CT17" s="140">
        <f>SUM(CH17:CS17)</f>
        <v>0</v>
      </c>
      <c r="CU17" s="200"/>
      <c r="CV17" s="178">
        <f>T17+AG17+AT17+BG17+BT17+CG17+CT17</f>
        <v>0</v>
      </c>
      <c r="CW17" s="202" t="e">
        <f>CV17/$CV$19</f>
        <v>#DIV/0!</v>
      </c>
      <c r="CX17" s="180"/>
    </row>
    <row r="18" spans="1:102" s="106" customFormat="1" ht="13.5" thickBot="1" x14ac:dyDescent="0.25">
      <c r="A18" s="372" t="s">
        <v>424</v>
      </c>
      <c r="B18" s="379">
        <f>SUM('Datu ievade'!B65:H65)</f>
        <v>0</v>
      </c>
      <c r="C18" s="359">
        <f>B18/$B$19</f>
        <v>0</v>
      </c>
      <c r="D18" s="196"/>
      <c r="E18" s="195"/>
      <c r="F18" s="203"/>
      <c r="G18" s="195"/>
      <c r="H18" s="337"/>
      <c r="I18" s="337"/>
      <c r="J18" s="337"/>
      <c r="K18" s="337"/>
      <c r="L18" s="340"/>
      <c r="M18" s="337"/>
      <c r="N18" s="340"/>
      <c r="O18" s="337"/>
      <c r="P18" s="337"/>
      <c r="Q18" s="337"/>
      <c r="R18" s="337"/>
      <c r="S18" s="339"/>
      <c r="T18" s="204">
        <f>SUM(H18:S18)</f>
        <v>0</v>
      </c>
      <c r="U18" s="337"/>
      <c r="V18" s="337"/>
      <c r="W18" s="337"/>
      <c r="X18" s="337"/>
      <c r="Y18" s="337"/>
      <c r="Z18" s="337"/>
      <c r="AA18" s="337"/>
      <c r="AB18" s="337"/>
      <c r="AC18" s="337"/>
      <c r="AD18" s="337"/>
      <c r="AE18" s="337"/>
      <c r="AF18" s="339"/>
      <c r="AG18" s="140">
        <f>SUM(U18:AF18)</f>
        <v>0</v>
      </c>
      <c r="AH18" s="337"/>
      <c r="AI18" s="337"/>
      <c r="AJ18" s="337"/>
      <c r="AK18" s="337"/>
      <c r="AL18" s="337"/>
      <c r="AM18" s="337"/>
      <c r="AN18" s="337"/>
      <c r="AO18" s="337"/>
      <c r="AP18" s="337"/>
      <c r="AQ18" s="337"/>
      <c r="AR18" s="337"/>
      <c r="AS18" s="339"/>
      <c r="AT18" s="204">
        <f>SUM(AH18:AS18)</f>
        <v>0</v>
      </c>
      <c r="AU18" s="337"/>
      <c r="AV18" s="337"/>
      <c r="AW18" s="337"/>
      <c r="AX18" s="337"/>
      <c r="AY18" s="337"/>
      <c r="AZ18" s="337"/>
      <c r="BA18" s="337"/>
      <c r="BB18" s="337"/>
      <c r="BC18" s="337"/>
      <c r="BD18" s="337"/>
      <c r="BE18" s="337"/>
      <c r="BF18" s="339"/>
      <c r="BG18" s="140">
        <f>SUM(AU18:BF18)</f>
        <v>0</v>
      </c>
      <c r="BH18" s="337"/>
      <c r="BI18" s="337"/>
      <c r="BJ18" s="337"/>
      <c r="BK18" s="337"/>
      <c r="BL18" s="337"/>
      <c r="BM18" s="337"/>
      <c r="BN18" s="337"/>
      <c r="BO18" s="337"/>
      <c r="BP18" s="337"/>
      <c r="BQ18" s="337"/>
      <c r="BR18" s="337"/>
      <c r="BS18" s="339"/>
      <c r="BT18" s="140">
        <f>SUM(BH18:BS18)</f>
        <v>0</v>
      </c>
      <c r="BU18" s="337"/>
      <c r="BV18" s="337"/>
      <c r="BW18" s="337"/>
      <c r="BX18" s="337"/>
      <c r="BY18" s="337"/>
      <c r="BZ18" s="337"/>
      <c r="CA18" s="337"/>
      <c r="CB18" s="337"/>
      <c r="CC18" s="337"/>
      <c r="CD18" s="337"/>
      <c r="CE18" s="337"/>
      <c r="CF18" s="339"/>
      <c r="CG18" s="140">
        <f>SUM(BU18:CF18)</f>
        <v>0</v>
      </c>
      <c r="CH18" s="337"/>
      <c r="CI18" s="337"/>
      <c r="CJ18" s="337"/>
      <c r="CK18" s="337"/>
      <c r="CL18" s="337"/>
      <c r="CM18" s="337"/>
      <c r="CN18" s="337"/>
      <c r="CO18" s="337"/>
      <c r="CP18" s="337"/>
      <c r="CQ18" s="337"/>
      <c r="CR18" s="337"/>
      <c r="CS18" s="339"/>
      <c r="CT18" s="140">
        <f>SUM(CH18:CS18)</f>
        <v>0</v>
      </c>
      <c r="CU18" s="200"/>
      <c r="CV18" s="178">
        <f>T18+AG18+AT18+BG18+BT18+CG18+CT18</f>
        <v>0</v>
      </c>
      <c r="CW18" s="202" t="e">
        <f>CV18/$CV$19</f>
        <v>#DIV/0!</v>
      </c>
      <c r="CX18" s="180"/>
    </row>
    <row r="19" spans="1:102" s="108" customFormat="1" ht="19.5" customHeight="1" thickBot="1" x14ac:dyDescent="0.25">
      <c r="A19" s="371" t="s">
        <v>425</v>
      </c>
      <c r="B19" s="380">
        <f>SUM(B15:B18)</f>
        <v>876144.91238887561</v>
      </c>
      <c r="C19" s="358">
        <f>SUM(C15:C18)</f>
        <v>1</v>
      </c>
      <c r="D19" s="190"/>
      <c r="E19" s="206"/>
      <c r="F19" s="205"/>
      <c r="G19" s="206"/>
      <c r="H19" s="187">
        <f t="shared" ref="H19:S19" si="7">SUM(H15:H18)</f>
        <v>0</v>
      </c>
      <c r="I19" s="187">
        <f t="shared" si="7"/>
        <v>0</v>
      </c>
      <c r="J19" s="187">
        <f t="shared" si="7"/>
        <v>0</v>
      </c>
      <c r="K19" s="187">
        <f t="shared" si="7"/>
        <v>0</v>
      </c>
      <c r="L19" s="187">
        <f t="shared" si="7"/>
        <v>0</v>
      </c>
      <c r="M19" s="187">
        <f t="shared" si="7"/>
        <v>0</v>
      </c>
      <c r="N19" s="187">
        <f t="shared" si="7"/>
        <v>0</v>
      </c>
      <c r="O19" s="187">
        <f t="shared" si="7"/>
        <v>0</v>
      </c>
      <c r="P19" s="187">
        <f t="shared" si="7"/>
        <v>0</v>
      </c>
      <c r="Q19" s="187">
        <f t="shared" si="7"/>
        <v>0</v>
      </c>
      <c r="R19" s="187">
        <f t="shared" si="7"/>
        <v>0</v>
      </c>
      <c r="S19" s="187">
        <f t="shared" si="7"/>
        <v>0</v>
      </c>
      <c r="T19" s="189">
        <f>SUM(H19:S19)</f>
        <v>0</v>
      </c>
      <c r="U19" s="190">
        <f t="shared" ref="U19:AF19" si="8">SUM(U15:U18)</f>
        <v>0</v>
      </c>
      <c r="V19" s="190">
        <f t="shared" si="8"/>
        <v>0</v>
      </c>
      <c r="W19" s="190">
        <f t="shared" si="8"/>
        <v>0</v>
      </c>
      <c r="X19" s="190">
        <f t="shared" si="8"/>
        <v>0</v>
      </c>
      <c r="Y19" s="190">
        <f t="shared" si="8"/>
        <v>0</v>
      </c>
      <c r="Z19" s="190">
        <f t="shared" si="8"/>
        <v>0</v>
      </c>
      <c r="AA19" s="190">
        <f t="shared" si="8"/>
        <v>0</v>
      </c>
      <c r="AB19" s="190">
        <f t="shared" si="8"/>
        <v>0</v>
      </c>
      <c r="AC19" s="190">
        <f t="shared" si="8"/>
        <v>0</v>
      </c>
      <c r="AD19" s="190">
        <f t="shared" si="8"/>
        <v>0</v>
      </c>
      <c r="AE19" s="190">
        <f t="shared" si="8"/>
        <v>0</v>
      </c>
      <c r="AF19" s="190">
        <f t="shared" si="8"/>
        <v>0</v>
      </c>
      <c r="AG19" s="189">
        <f>SUM(U19:AF19)</f>
        <v>0</v>
      </c>
      <c r="AH19" s="190">
        <f t="shared" ref="AH19:AS19" si="9">SUM(AH15:AH18)</f>
        <v>0</v>
      </c>
      <c r="AI19" s="190">
        <f t="shared" si="9"/>
        <v>0</v>
      </c>
      <c r="AJ19" s="190">
        <f t="shared" si="9"/>
        <v>0</v>
      </c>
      <c r="AK19" s="190">
        <f t="shared" si="9"/>
        <v>0</v>
      </c>
      <c r="AL19" s="190">
        <f t="shared" si="9"/>
        <v>0</v>
      </c>
      <c r="AM19" s="190">
        <f t="shared" si="9"/>
        <v>0</v>
      </c>
      <c r="AN19" s="190">
        <f t="shared" si="9"/>
        <v>0</v>
      </c>
      <c r="AO19" s="190">
        <f t="shared" si="9"/>
        <v>0</v>
      </c>
      <c r="AP19" s="190">
        <f t="shared" si="9"/>
        <v>0</v>
      </c>
      <c r="AQ19" s="190">
        <f t="shared" si="9"/>
        <v>0</v>
      </c>
      <c r="AR19" s="190">
        <f t="shared" si="9"/>
        <v>0</v>
      </c>
      <c r="AS19" s="190">
        <f t="shared" si="9"/>
        <v>0</v>
      </c>
      <c r="AT19" s="189">
        <f>SUM(AH19:AS19)</f>
        <v>0</v>
      </c>
      <c r="AU19" s="190">
        <f t="shared" ref="AU19:BF19" si="10">SUM(AU15:AU18)</f>
        <v>0</v>
      </c>
      <c r="AV19" s="190">
        <f t="shared" si="10"/>
        <v>0</v>
      </c>
      <c r="AW19" s="190">
        <f t="shared" si="10"/>
        <v>0</v>
      </c>
      <c r="AX19" s="190">
        <f t="shared" si="10"/>
        <v>0</v>
      </c>
      <c r="AY19" s="190">
        <f t="shared" si="10"/>
        <v>0</v>
      </c>
      <c r="AZ19" s="190">
        <f t="shared" si="10"/>
        <v>0</v>
      </c>
      <c r="BA19" s="190">
        <f t="shared" si="10"/>
        <v>0</v>
      </c>
      <c r="BB19" s="190">
        <f t="shared" si="10"/>
        <v>0</v>
      </c>
      <c r="BC19" s="190">
        <f t="shared" si="10"/>
        <v>0</v>
      </c>
      <c r="BD19" s="190">
        <f t="shared" si="10"/>
        <v>0</v>
      </c>
      <c r="BE19" s="190">
        <f t="shared" si="10"/>
        <v>0</v>
      </c>
      <c r="BF19" s="190">
        <f t="shared" si="10"/>
        <v>0</v>
      </c>
      <c r="BG19" s="189">
        <f>SUM(AU19:BF19)</f>
        <v>0</v>
      </c>
      <c r="BH19" s="190">
        <f t="shared" ref="BH19:BS19" si="11">SUM(BH15:BH18)</f>
        <v>0</v>
      </c>
      <c r="BI19" s="190">
        <f t="shared" si="11"/>
        <v>0</v>
      </c>
      <c r="BJ19" s="190">
        <f t="shared" si="11"/>
        <v>0</v>
      </c>
      <c r="BK19" s="190">
        <f t="shared" si="11"/>
        <v>0</v>
      </c>
      <c r="BL19" s="190">
        <f t="shared" si="11"/>
        <v>0</v>
      </c>
      <c r="BM19" s="190">
        <f t="shared" si="11"/>
        <v>0</v>
      </c>
      <c r="BN19" s="190">
        <f t="shared" si="11"/>
        <v>0</v>
      </c>
      <c r="BO19" s="190">
        <f t="shared" si="11"/>
        <v>0</v>
      </c>
      <c r="BP19" s="190">
        <f t="shared" si="11"/>
        <v>0</v>
      </c>
      <c r="BQ19" s="190">
        <f t="shared" si="11"/>
        <v>0</v>
      </c>
      <c r="BR19" s="190">
        <f t="shared" si="11"/>
        <v>0</v>
      </c>
      <c r="BS19" s="190">
        <f t="shared" si="11"/>
        <v>0</v>
      </c>
      <c r="BT19" s="189">
        <f>SUM(BH19:BS19)</f>
        <v>0</v>
      </c>
      <c r="BU19" s="190">
        <f t="shared" ref="BU19:CF19" si="12">SUM(BU15:BU18)</f>
        <v>0</v>
      </c>
      <c r="BV19" s="190">
        <f t="shared" si="12"/>
        <v>0</v>
      </c>
      <c r="BW19" s="190">
        <f t="shared" si="12"/>
        <v>0</v>
      </c>
      <c r="BX19" s="190">
        <f t="shared" si="12"/>
        <v>0</v>
      </c>
      <c r="BY19" s="190">
        <f t="shared" si="12"/>
        <v>0</v>
      </c>
      <c r="BZ19" s="190">
        <f t="shared" si="12"/>
        <v>0</v>
      </c>
      <c r="CA19" s="190">
        <f t="shared" si="12"/>
        <v>0</v>
      </c>
      <c r="CB19" s="190">
        <f t="shared" si="12"/>
        <v>0</v>
      </c>
      <c r="CC19" s="190">
        <f t="shared" si="12"/>
        <v>0</v>
      </c>
      <c r="CD19" s="190">
        <f t="shared" si="12"/>
        <v>0</v>
      </c>
      <c r="CE19" s="190">
        <f t="shared" si="12"/>
        <v>0</v>
      </c>
      <c r="CF19" s="190">
        <f t="shared" si="12"/>
        <v>0</v>
      </c>
      <c r="CG19" s="189">
        <f>SUM(BU19:CF19)</f>
        <v>0</v>
      </c>
      <c r="CH19" s="190">
        <f t="shared" ref="CH19:CS19" si="13">SUM(CH15:CH18)</f>
        <v>0</v>
      </c>
      <c r="CI19" s="190">
        <f t="shared" si="13"/>
        <v>0</v>
      </c>
      <c r="CJ19" s="190">
        <f t="shared" si="13"/>
        <v>0</v>
      </c>
      <c r="CK19" s="190">
        <f t="shared" si="13"/>
        <v>0</v>
      </c>
      <c r="CL19" s="190">
        <f t="shared" si="13"/>
        <v>0</v>
      </c>
      <c r="CM19" s="190">
        <f t="shared" si="13"/>
        <v>0</v>
      </c>
      <c r="CN19" s="190">
        <f t="shared" si="13"/>
        <v>0</v>
      </c>
      <c r="CO19" s="190">
        <f t="shared" si="13"/>
        <v>0</v>
      </c>
      <c r="CP19" s="190">
        <f t="shared" si="13"/>
        <v>0</v>
      </c>
      <c r="CQ19" s="190">
        <f t="shared" si="13"/>
        <v>0</v>
      </c>
      <c r="CR19" s="190">
        <f t="shared" si="13"/>
        <v>0</v>
      </c>
      <c r="CS19" s="190">
        <f t="shared" si="13"/>
        <v>0</v>
      </c>
      <c r="CT19" s="189">
        <f>SUM(CH19:CS19)</f>
        <v>0</v>
      </c>
      <c r="CU19" s="191"/>
      <c r="CV19" s="205">
        <f>SUM(CV15:CV18)</f>
        <v>0</v>
      </c>
      <c r="CW19" s="207" t="e">
        <f>SUM(CW15:CW18)</f>
        <v>#DIV/0!</v>
      </c>
      <c r="CX19" s="180"/>
    </row>
    <row r="20" spans="1:102" s="216" customFormat="1" ht="19.5" customHeight="1" thickBot="1" x14ac:dyDescent="0.25">
      <c r="A20" s="373" t="s">
        <v>426</v>
      </c>
      <c r="B20" s="381">
        <f>B13-B19</f>
        <v>10038.297611124464</v>
      </c>
      <c r="C20" s="360"/>
      <c r="D20" s="350"/>
      <c r="E20" s="209"/>
      <c r="F20" s="208"/>
      <c r="G20" s="209"/>
      <c r="H20" s="210">
        <f>H13-H19+H25</f>
        <v>0</v>
      </c>
      <c r="I20" s="210">
        <f t="shared" ref="I20:S20" si="14">H20+I25+I13-I19</f>
        <v>0</v>
      </c>
      <c r="J20" s="210">
        <f t="shared" si="14"/>
        <v>0</v>
      </c>
      <c r="K20" s="210">
        <f t="shared" si="14"/>
        <v>0</v>
      </c>
      <c r="L20" s="210">
        <f t="shared" si="14"/>
        <v>0</v>
      </c>
      <c r="M20" s="210">
        <f t="shared" si="14"/>
        <v>0</v>
      </c>
      <c r="N20" s="210">
        <f t="shared" si="14"/>
        <v>0</v>
      </c>
      <c r="O20" s="210">
        <f t="shared" si="14"/>
        <v>0</v>
      </c>
      <c r="P20" s="210">
        <f t="shared" si="14"/>
        <v>0</v>
      </c>
      <c r="Q20" s="210">
        <f t="shared" si="14"/>
        <v>0</v>
      </c>
      <c r="R20" s="210">
        <f t="shared" si="14"/>
        <v>0</v>
      </c>
      <c r="S20" s="211">
        <f t="shared" si="14"/>
        <v>0</v>
      </c>
      <c r="T20" s="212">
        <f>S20</f>
        <v>0</v>
      </c>
      <c r="U20" s="213">
        <f>S20+U25+U13-U19</f>
        <v>0</v>
      </c>
      <c r="V20" s="210">
        <f t="shared" ref="V20:AF20" si="15">U20+V25+V13-V19</f>
        <v>0</v>
      </c>
      <c r="W20" s="210">
        <f t="shared" si="15"/>
        <v>0</v>
      </c>
      <c r="X20" s="210">
        <f t="shared" si="15"/>
        <v>0</v>
      </c>
      <c r="Y20" s="210">
        <f t="shared" si="15"/>
        <v>0</v>
      </c>
      <c r="Z20" s="210">
        <f t="shared" si="15"/>
        <v>0</v>
      </c>
      <c r="AA20" s="210">
        <f t="shared" si="15"/>
        <v>0</v>
      </c>
      <c r="AB20" s="210">
        <f t="shared" si="15"/>
        <v>0</v>
      </c>
      <c r="AC20" s="210">
        <f t="shared" si="15"/>
        <v>0</v>
      </c>
      <c r="AD20" s="210">
        <f t="shared" si="15"/>
        <v>0</v>
      </c>
      <c r="AE20" s="210">
        <f t="shared" si="15"/>
        <v>0</v>
      </c>
      <c r="AF20" s="211">
        <f t="shared" si="15"/>
        <v>0</v>
      </c>
      <c r="AG20" s="212">
        <f>AF20</f>
        <v>0</v>
      </c>
      <c r="AH20" s="213">
        <f t="shared" ref="AH20:AS20" si="16">AG20+AH25+AH13-AH19</f>
        <v>0</v>
      </c>
      <c r="AI20" s="210">
        <f t="shared" si="16"/>
        <v>0</v>
      </c>
      <c r="AJ20" s="210">
        <f t="shared" si="16"/>
        <v>0</v>
      </c>
      <c r="AK20" s="210">
        <f t="shared" si="16"/>
        <v>0</v>
      </c>
      <c r="AL20" s="210">
        <f t="shared" si="16"/>
        <v>0</v>
      </c>
      <c r="AM20" s="210">
        <f t="shared" si="16"/>
        <v>0</v>
      </c>
      <c r="AN20" s="210">
        <f t="shared" si="16"/>
        <v>0</v>
      </c>
      <c r="AO20" s="210">
        <f t="shared" si="16"/>
        <v>0</v>
      </c>
      <c r="AP20" s="210">
        <f t="shared" si="16"/>
        <v>0</v>
      </c>
      <c r="AQ20" s="210">
        <f t="shared" si="16"/>
        <v>0</v>
      </c>
      <c r="AR20" s="210">
        <f t="shared" si="16"/>
        <v>0</v>
      </c>
      <c r="AS20" s="211">
        <f t="shared" si="16"/>
        <v>0</v>
      </c>
      <c r="AT20" s="212">
        <f>AS20</f>
        <v>0</v>
      </c>
      <c r="AU20" s="213">
        <f>F20+AU25+AU13-AU19</f>
        <v>0</v>
      </c>
      <c r="AV20" s="210">
        <f t="shared" ref="AV20:BF20" si="17">AU20+AV25+AV13-AV19</f>
        <v>0</v>
      </c>
      <c r="AW20" s="210">
        <f t="shared" si="17"/>
        <v>0</v>
      </c>
      <c r="AX20" s="210">
        <f t="shared" si="17"/>
        <v>0</v>
      </c>
      <c r="AY20" s="210">
        <f t="shared" si="17"/>
        <v>0</v>
      </c>
      <c r="AZ20" s="210">
        <f t="shared" si="17"/>
        <v>0</v>
      </c>
      <c r="BA20" s="210">
        <f t="shared" si="17"/>
        <v>0</v>
      </c>
      <c r="BB20" s="210">
        <f t="shared" si="17"/>
        <v>0</v>
      </c>
      <c r="BC20" s="210">
        <f t="shared" si="17"/>
        <v>0</v>
      </c>
      <c r="BD20" s="210">
        <f t="shared" si="17"/>
        <v>0</v>
      </c>
      <c r="BE20" s="210">
        <f t="shared" si="17"/>
        <v>0</v>
      </c>
      <c r="BF20" s="211">
        <f t="shared" si="17"/>
        <v>0</v>
      </c>
      <c r="BG20" s="212">
        <f>BF20</f>
        <v>0</v>
      </c>
      <c r="BH20" s="213">
        <f>S20+BH25+BH13-BH19</f>
        <v>0</v>
      </c>
      <c r="BI20" s="210">
        <f t="shared" ref="BI20:BS20" si="18">BH20+BI25+BI13-BI19</f>
        <v>0</v>
      </c>
      <c r="BJ20" s="210">
        <f t="shared" si="18"/>
        <v>0</v>
      </c>
      <c r="BK20" s="210">
        <f t="shared" si="18"/>
        <v>0</v>
      </c>
      <c r="BL20" s="210">
        <f t="shared" si="18"/>
        <v>0</v>
      </c>
      <c r="BM20" s="210">
        <f t="shared" si="18"/>
        <v>0</v>
      </c>
      <c r="BN20" s="210">
        <f t="shared" si="18"/>
        <v>0</v>
      </c>
      <c r="BO20" s="210">
        <f t="shared" si="18"/>
        <v>0</v>
      </c>
      <c r="BP20" s="210">
        <f t="shared" si="18"/>
        <v>0</v>
      </c>
      <c r="BQ20" s="210">
        <f t="shared" si="18"/>
        <v>0</v>
      </c>
      <c r="BR20" s="210">
        <f t="shared" si="18"/>
        <v>0</v>
      </c>
      <c r="BS20" s="211">
        <f t="shared" si="18"/>
        <v>0</v>
      </c>
      <c r="BT20" s="212">
        <f>BS20</f>
        <v>0</v>
      </c>
      <c r="BU20" s="213">
        <f>AF20+BU25+BU13-BU19</f>
        <v>0</v>
      </c>
      <c r="BV20" s="210">
        <f t="shared" ref="BV20:CF20" si="19">BU20+BV25+BV13-BV19</f>
        <v>0</v>
      </c>
      <c r="BW20" s="210">
        <f t="shared" si="19"/>
        <v>0</v>
      </c>
      <c r="BX20" s="210">
        <f t="shared" si="19"/>
        <v>0</v>
      </c>
      <c r="BY20" s="210">
        <f t="shared" si="19"/>
        <v>0</v>
      </c>
      <c r="BZ20" s="210">
        <f t="shared" si="19"/>
        <v>0</v>
      </c>
      <c r="CA20" s="210">
        <f t="shared" si="19"/>
        <v>0</v>
      </c>
      <c r="CB20" s="210">
        <f t="shared" si="19"/>
        <v>0</v>
      </c>
      <c r="CC20" s="210">
        <f t="shared" si="19"/>
        <v>0</v>
      </c>
      <c r="CD20" s="210">
        <f t="shared" si="19"/>
        <v>0</v>
      </c>
      <c r="CE20" s="210">
        <f t="shared" si="19"/>
        <v>0</v>
      </c>
      <c r="CF20" s="211">
        <f t="shared" si="19"/>
        <v>0</v>
      </c>
      <c r="CG20" s="212">
        <f>CF20</f>
        <v>0</v>
      </c>
      <c r="CH20" s="213">
        <f>AS20+CH25+CH13-CH19</f>
        <v>0</v>
      </c>
      <c r="CI20" s="210">
        <f t="shared" ref="CI20:CS20" si="20">CH20+CI25+CI13-CI19</f>
        <v>0</v>
      </c>
      <c r="CJ20" s="210">
        <f t="shared" si="20"/>
        <v>0</v>
      </c>
      <c r="CK20" s="210">
        <f t="shared" si="20"/>
        <v>0</v>
      </c>
      <c r="CL20" s="210">
        <f t="shared" si="20"/>
        <v>0</v>
      </c>
      <c r="CM20" s="210">
        <f t="shared" si="20"/>
        <v>0</v>
      </c>
      <c r="CN20" s="210">
        <f t="shared" si="20"/>
        <v>0</v>
      </c>
      <c r="CO20" s="210">
        <f t="shared" si="20"/>
        <v>0</v>
      </c>
      <c r="CP20" s="210">
        <f t="shared" si="20"/>
        <v>0</v>
      </c>
      <c r="CQ20" s="210">
        <f t="shared" si="20"/>
        <v>0</v>
      </c>
      <c r="CR20" s="210">
        <f t="shared" si="20"/>
        <v>0</v>
      </c>
      <c r="CS20" s="211">
        <f t="shared" si="20"/>
        <v>0</v>
      </c>
      <c r="CT20" s="212">
        <f>CS20</f>
        <v>0</v>
      </c>
      <c r="CU20" s="214"/>
      <c r="CV20" s="208">
        <f>AT20</f>
        <v>0</v>
      </c>
      <c r="CW20" s="215"/>
      <c r="CX20" s="180"/>
    </row>
    <row r="21" spans="1:102" s="106" customFormat="1" x14ac:dyDescent="0.2">
      <c r="A21" s="374" t="s">
        <v>427</v>
      </c>
      <c r="B21" s="394">
        <f>SUM('Datu ievade'!B74:H74)</f>
        <v>307775.83999999997</v>
      </c>
      <c r="C21" s="361"/>
      <c r="D21" s="196"/>
      <c r="E21" s="195"/>
      <c r="F21" s="203"/>
      <c r="G21" s="195"/>
      <c r="H21" s="337"/>
      <c r="I21" s="337"/>
      <c r="J21" s="337"/>
      <c r="K21" s="337"/>
      <c r="L21" s="337"/>
      <c r="M21" s="337"/>
      <c r="N21" s="337"/>
      <c r="O21" s="337"/>
      <c r="P21" s="337"/>
      <c r="Q21" s="337"/>
      <c r="R21" s="337"/>
      <c r="S21" s="339"/>
      <c r="T21" s="204">
        <f>SUM(H21:S21)</f>
        <v>0</v>
      </c>
      <c r="U21" s="337"/>
      <c r="V21" s="337"/>
      <c r="W21" s="337"/>
      <c r="X21" s="337"/>
      <c r="Y21" s="337"/>
      <c r="Z21" s="337"/>
      <c r="AA21" s="337"/>
      <c r="AB21" s="337"/>
      <c r="AC21" s="337"/>
      <c r="AD21" s="337"/>
      <c r="AE21" s="337"/>
      <c r="AF21" s="337"/>
      <c r="AG21" s="204">
        <f>SUM(U21:AF21)</f>
        <v>0</v>
      </c>
      <c r="AH21" s="337"/>
      <c r="AI21" s="337"/>
      <c r="AJ21" s="337"/>
      <c r="AK21" s="337"/>
      <c r="AL21" s="337"/>
      <c r="AM21" s="337"/>
      <c r="AN21" s="337"/>
      <c r="AO21" s="337"/>
      <c r="AP21" s="337"/>
      <c r="AQ21" s="337"/>
      <c r="AR21" s="337"/>
      <c r="AS21" s="339"/>
      <c r="AT21" s="204">
        <f>SUM(AH21:AS21)</f>
        <v>0</v>
      </c>
      <c r="AU21" s="337"/>
      <c r="AV21" s="337"/>
      <c r="AW21" s="337"/>
      <c r="AX21" s="337"/>
      <c r="AY21" s="337"/>
      <c r="AZ21" s="337"/>
      <c r="BA21" s="337"/>
      <c r="BB21" s="337"/>
      <c r="BC21" s="337"/>
      <c r="BD21" s="337"/>
      <c r="BE21" s="337"/>
      <c r="BF21" s="339"/>
      <c r="BG21" s="204">
        <f>SUM(AU21:BF21)</f>
        <v>0</v>
      </c>
      <c r="BH21" s="337"/>
      <c r="BI21" s="337"/>
      <c r="BJ21" s="337"/>
      <c r="BK21" s="337"/>
      <c r="BL21" s="337"/>
      <c r="BM21" s="337"/>
      <c r="BN21" s="337"/>
      <c r="BO21" s="337"/>
      <c r="BP21" s="337"/>
      <c r="BQ21" s="337"/>
      <c r="BR21" s="337"/>
      <c r="BS21" s="339"/>
      <c r="BT21" s="199">
        <f>SUM(BH21:BS21)</f>
        <v>0</v>
      </c>
      <c r="BU21" s="337"/>
      <c r="BV21" s="337"/>
      <c r="BW21" s="337"/>
      <c r="BX21" s="337"/>
      <c r="BY21" s="337"/>
      <c r="BZ21" s="337"/>
      <c r="CA21" s="337"/>
      <c r="CB21" s="337"/>
      <c r="CC21" s="337"/>
      <c r="CD21" s="337"/>
      <c r="CE21" s="337"/>
      <c r="CF21" s="339"/>
      <c r="CG21" s="199">
        <f>SUM(BU21:CF21)</f>
        <v>0</v>
      </c>
      <c r="CH21" s="337"/>
      <c r="CI21" s="337"/>
      <c r="CJ21" s="337"/>
      <c r="CK21" s="337"/>
      <c r="CL21" s="337"/>
      <c r="CM21" s="337"/>
      <c r="CN21" s="337"/>
      <c r="CO21" s="337"/>
      <c r="CP21" s="337"/>
      <c r="CQ21" s="337"/>
      <c r="CR21" s="337"/>
      <c r="CS21" s="339"/>
      <c r="CT21" s="199">
        <f>SUM(CH21:CS21)</f>
        <v>0</v>
      </c>
      <c r="CU21" s="200"/>
      <c r="CV21" s="178">
        <f>T21+AG21+AT21+BG21+BT21+CG21+CT21</f>
        <v>0</v>
      </c>
      <c r="CW21" s="217"/>
      <c r="CX21" s="180"/>
    </row>
    <row r="22" spans="1:102" s="106" customFormat="1" ht="13.5" thickBot="1" x14ac:dyDescent="0.25">
      <c r="A22" s="374" t="s">
        <v>428</v>
      </c>
      <c r="B22" s="395">
        <f>SUM('Datu ievade'!B68:H73)</f>
        <v>45989.35761112436</v>
      </c>
      <c r="C22" s="362"/>
      <c r="D22" s="351"/>
      <c r="E22" s="219"/>
      <c r="F22" s="218"/>
      <c r="G22" s="219"/>
      <c r="H22" s="337"/>
      <c r="I22" s="337"/>
      <c r="J22" s="337"/>
      <c r="K22" s="337"/>
      <c r="L22" s="337"/>
      <c r="M22" s="337"/>
      <c r="N22" s="337"/>
      <c r="O22" s="337"/>
      <c r="P22" s="337"/>
      <c r="Q22" s="337"/>
      <c r="R22" s="337"/>
      <c r="S22" s="339"/>
      <c r="T22" s="204">
        <f>SUM(H22:S22)</f>
        <v>0</v>
      </c>
      <c r="U22" s="337"/>
      <c r="V22" s="386"/>
      <c r="W22" s="337"/>
      <c r="X22" s="386"/>
      <c r="Y22" s="337"/>
      <c r="Z22" s="386"/>
      <c r="AA22" s="337"/>
      <c r="AB22" s="337"/>
      <c r="AC22" s="337"/>
      <c r="AD22" s="386"/>
      <c r="AE22" s="337"/>
      <c r="AF22" s="387"/>
      <c r="AG22" s="140">
        <f>SUM(U22:AF22)</f>
        <v>0</v>
      </c>
      <c r="AH22" s="393"/>
      <c r="AI22" s="386"/>
      <c r="AJ22" s="386"/>
      <c r="AK22" s="337"/>
      <c r="AL22" s="386"/>
      <c r="AM22" s="386"/>
      <c r="AN22" s="386"/>
      <c r="AO22" s="386"/>
      <c r="AP22" s="386"/>
      <c r="AQ22" s="386"/>
      <c r="AR22" s="386"/>
      <c r="AS22" s="387"/>
      <c r="AT22" s="204">
        <f>SUM(AH22:AS22)</f>
        <v>0</v>
      </c>
      <c r="AU22" s="337"/>
      <c r="AV22" s="386"/>
      <c r="AW22" s="337"/>
      <c r="AX22" s="386"/>
      <c r="AY22" s="337"/>
      <c r="AZ22" s="386"/>
      <c r="BA22" s="337"/>
      <c r="BB22" s="386"/>
      <c r="BC22" s="337"/>
      <c r="BD22" s="386"/>
      <c r="BE22" s="337"/>
      <c r="BF22" s="387"/>
      <c r="BG22" s="140">
        <f>SUM(AU22:BF22)</f>
        <v>0</v>
      </c>
      <c r="BH22" s="337"/>
      <c r="BI22" s="386"/>
      <c r="BJ22" s="337"/>
      <c r="BK22" s="386"/>
      <c r="BL22" s="337"/>
      <c r="BM22" s="386"/>
      <c r="BN22" s="337"/>
      <c r="BO22" s="386"/>
      <c r="BP22" s="337"/>
      <c r="BQ22" s="386"/>
      <c r="BR22" s="337"/>
      <c r="BS22" s="387"/>
      <c r="BT22" s="140">
        <f>SUM(BH22:BS22)</f>
        <v>0</v>
      </c>
      <c r="BU22" s="337"/>
      <c r="BV22" s="386"/>
      <c r="BW22" s="337"/>
      <c r="BX22" s="386"/>
      <c r="BY22" s="337"/>
      <c r="BZ22" s="386"/>
      <c r="CA22" s="337"/>
      <c r="CB22" s="386"/>
      <c r="CC22" s="337"/>
      <c r="CD22" s="386"/>
      <c r="CE22" s="337"/>
      <c r="CF22" s="387"/>
      <c r="CG22" s="140">
        <f>SUM(BU22:CF22)</f>
        <v>0</v>
      </c>
      <c r="CH22" s="337"/>
      <c r="CI22" s="386"/>
      <c r="CJ22" s="337"/>
      <c r="CK22" s="386"/>
      <c r="CL22" s="337"/>
      <c r="CM22" s="386"/>
      <c r="CN22" s="337"/>
      <c r="CO22" s="386"/>
      <c r="CP22" s="337"/>
      <c r="CQ22" s="386"/>
      <c r="CR22" s="337"/>
      <c r="CS22" s="387"/>
      <c r="CT22" s="140">
        <f>SUM(CH22:CS22)</f>
        <v>0</v>
      </c>
      <c r="CU22" s="200"/>
      <c r="CV22" s="178">
        <f>T22+AG22+AT22+BG22+BT22+CG22+CT22</f>
        <v>0</v>
      </c>
      <c r="CW22" s="220"/>
      <c r="CX22" s="180"/>
    </row>
    <row r="23" spans="1:102" s="216" customFormat="1" ht="19.5" customHeight="1" thickBot="1" x14ac:dyDescent="0.25">
      <c r="A23" s="367" t="s">
        <v>429</v>
      </c>
      <c r="B23" s="382">
        <f>B27+B13-B19-B21-B22+0.01</f>
        <v>-343726.88999999984</v>
      </c>
      <c r="C23" s="360"/>
      <c r="D23" s="350"/>
      <c r="E23" s="209"/>
      <c r="F23" s="208"/>
      <c r="G23" s="209"/>
      <c r="H23" s="210">
        <f>H27+H13-H19-H21-H22</f>
        <v>0</v>
      </c>
      <c r="I23" s="210">
        <f t="shared" ref="I23:S23" si="21">H23+I13-I19+I27-I21-I22</f>
        <v>0</v>
      </c>
      <c r="J23" s="210">
        <f t="shared" si="21"/>
        <v>0</v>
      </c>
      <c r="K23" s="210">
        <f t="shared" si="21"/>
        <v>0</v>
      </c>
      <c r="L23" s="210">
        <f t="shared" si="21"/>
        <v>0</v>
      </c>
      <c r="M23" s="210">
        <f t="shared" si="21"/>
        <v>0</v>
      </c>
      <c r="N23" s="210">
        <f t="shared" si="21"/>
        <v>0</v>
      </c>
      <c r="O23" s="210">
        <f t="shared" si="21"/>
        <v>0</v>
      </c>
      <c r="P23" s="210">
        <f t="shared" si="21"/>
        <v>0</v>
      </c>
      <c r="Q23" s="210">
        <f t="shared" si="21"/>
        <v>0</v>
      </c>
      <c r="R23" s="210">
        <f t="shared" si="21"/>
        <v>0</v>
      </c>
      <c r="S23" s="211">
        <f t="shared" si="21"/>
        <v>0</v>
      </c>
      <c r="T23" s="212">
        <f>S23</f>
        <v>0</v>
      </c>
      <c r="U23" s="213">
        <f>S23+U27+U13-U19-U21-U22</f>
        <v>0</v>
      </c>
      <c r="V23" s="210">
        <f t="shared" ref="V23:AF23" si="22">U23+V13-V19+V27-V21-V22</f>
        <v>0</v>
      </c>
      <c r="W23" s="210">
        <f t="shared" si="22"/>
        <v>0</v>
      </c>
      <c r="X23" s="210">
        <f t="shared" si="22"/>
        <v>0</v>
      </c>
      <c r="Y23" s="210">
        <f>X23+Y13-Y19+Y27-Y21-Y22</f>
        <v>0</v>
      </c>
      <c r="Z23" s="210">
        <f t="shared" si="22"/>
        <v>0</v>
      </c>
      <c r="AA23" s="210">
        <f t="shared" si="22"/>
        <v>0</v>
      </c>
      <c r="AB23" s="210">
        <f>AA23+AB13-AB19+AB27-AB21-AB22</f>
        <v>0</v>
      </c>
      <c r="AC23" s="210">
        <f t="shared" si="22"/>
        <v>0</v>
      </c>
      <c r="AD23" s="210">
        <f t="shared" si="22"/>
        <v>0</v>
      </c>
      <c r="AE23" s="210">
        <f t="shared" si="22"/>
        <v>0</v>
      </c>
      <c r="AF23" s="211">
        <f t="shared" si="22"/>
        <v>0</v>
      </c>
      <c r="AG23" s="212">
        <f>AF23</f>
        <v>0</v>
      </c>
      <c r="AH23" s="221">
        <f>AF23+AH27+AH13-AH19-AH21-AH22</f>
        <v>0</v>
      </c>
      <c r="AI23" s="212">
        <f t="shared" ref="AI23:AS23" si="23">AH23+AI27+AI13-AI19-AI21-AI22</f>
        <v>0</v>
      </c>
      <c r="AJ23" s="212">
        <f t="shared" si="23"/>
        <v>0</v>
      </c>
      <c r="AK23" s="212">
        <f t="shared" si="23"/>
        <v>0</v>
      </c>
      <c r="AL23" s="212">
        <f t="shared" si="23"/>
        <v>0</v>
      </c>
      <c r="AM23" s="212">
        <f t="shared" si="23"/>
        <v>0</v>
      </c>
      <c r="AN23" s="212">
        <f t="shared" si="23"/>
        <v>0</v>
      </c>
      <c r="AO23" s="212">
        <f t="shared" si="23"/>
        <v>0</v>
      </c>
      <c r="AP23" s="212">
        <f t="shared" si="23"/>
        <v>0</v>
      </c>
      <c r="AQ23" s="212">
        <f t="shared" si="23"/>
        <v>0</v>
      </c>
      <c r="AR23" s="212">
        <f t="shared" si="23"/>
        <v>0</v>
      </c>
      <c r="AS23" s="222">
        <f t="shared" si="23"/>
        <v>0</v>
      </c>
      <c r="AT23" s="212">
        <f>AS23</f>
        <v>0</v>
      </c>
      <c r="AU23" s="213">
        <f>F23+AU27+AU13-AU19-AU21-AU22</f>
        <v>0</v>
      </c>
      <c r="AV23" s="210">
        <f t="shared" ref="AV23:BF23" si="24">AU23+AV13-AV19+AV27-AV21-AV22</f>
        <v>0</v>
      </c>
      <c r="AW23" s="210">
        <f t="shared" si="24"/>
        <v>0</v>
      </c>
      <c r="AX23" s="210">
        <f t="shared" si="24"/>
        <v>0</v>
      </c>
      <c r="AY23" s="210">
        <f t="shared" si="24"/>
        <v>0</v>
      </c>
      <c r="AZ23" s="210">
        <f t="shared" si="24"/>
        <v>0</v>
      </c>
      <c r="BA23" s="210">
        <f t="shared" si="24"/>
        <v>0</v>
      </c>
      <c r="BB23" s="210">
        <f t="shared" si="24"/>
        <v>0</v>
      </c>
      <c r="BC23" s="210">
        <f t="shared" si="24"/>
        <v>0</v>
      </c>
      <c r="BD23" s="210">
        <f t="shared" si="24"/>
        <v>0</v>
      </c>
      <c r="BE23" s="210">
        <f t="shared" si="24"/>
        <v>0</v>
      </c>
      <c r="BF23" s="211">
        <f t="shared" si="24"/>
        <v>0</v>
      </c>
      <c r="BG23" s="212">
        <f>BF23</f>
        <v>0</v>
      </c>
      <c r="BH23" s="213">
        <f>S23+BH27+BH13-BH19-BH21-BH22</f>
        <v>0</v>
      </c>
      <c r="BI23" s="210">
        <f t="shared" ref="BI23:BS23" si="25">BH23+BI13-BI19+BI27-BI21-BI22</f>
        <v>0</v>
      </c>
      <c r="BJ23" s="210">
        <f t="shared" si="25"/>
        <v>0</v>
      </c>
      <c r="BK23" s="210">
        <f t="shared" si="25"/>
        <v>0</v>
      </c>
      <c r="BL23" s="210">
        <f t="shared" si="25"/>
        <v>0</v>
      </c>
      <c r="BM23" s="210">
        <f t="shared" si="25"/>
        <v>0</v>
      </c>
      <c r="BN23" s="210">
        <f t="shared" si="25"/>
        <v>0</v>
      </c>
      <c r="BO23" s="210">
        <f t="shared" si="25"/>
        <v>0</v>
      </c>
      <c r="BP23" s="210">
        <f t="shared" si="25"/>
        <v>0</v>
      </c>
      <c r="BQ23" s="210">
        <f t="shared" si="25"/>
        <v>0</v>
      </c>
      <c r="BR23" s="210">
        <f t="shared" si="25"/>
        <v>0</v>
      </c>
      <c r="BS23" s="211">
        <f t="shared" si="25"/>
        <v>0</v>
      </c>
      <c r="BT23" s="212">
        <f>BS23</f>
        <v>0</v>
      </c>
      <c r="BU23" s="213">
        <f>AF23+BU27+BU13-BU19-BU21-BU22</f>
        <v>0</v>
      </c>
      <c r="BV23" s="210">
        <f t="shared" ref="BV23:CF23" si="26">BU23+BV13-BV19+BV27-BV21-BV22</f>
        <v>0</v>
      </c>
      <c r="BW23" s="210">
        <f t="shared" si="26"/>
        <v>0</v>
      </c>
      <c r="BX23" s="210">
        <f t="shared" si="26"/>
        <v>0</v>
      </c>
      <c r="BY23" s="210">
        <f t="shared" si="26"/>
        <v>0</v>
      </c>
      <c r="BZ23" s="210">
        <f t="shared" si="26"/>
        <v>0</v>
      </c>
      <c r="CA23" s="210">
        <f t="shared" si="26"/>
        <v>0</v>
      </c>
      <c r="CB23" s="210">
        <f t="shared" si="26"/>
        <v>0</v>
      </c>
      <c r="CC23" s="210">
        <f t="shared" si="26"/>
        <v>0</v>
      </c>
      <c r="CD23" s="210">
        <f t="shared" si="26"/>
        <v>0</v>
      </c>
      <c r="CE23" s="210">
        <f t="shared" si="26"/>
        <v>0</v>
      </c>
      <c r="CF23" s="211">
        <f t="shared" si="26"/>
        <v>0</v>
      </c>
      <c r="CG23" s="212">
        <f>CF23</f>
        <v>0</v>
      </c>
      <c r="CH23" s="213">
        <f>AS23+CH27+CH13-CH19-CH21-CH22</f>
        <v>0</v>
      </c>
      <c r="CI23" s="210">
        <f t="shared" ref="CI23:CS23" si="27">CH23+CI13-CI19+CI27-CI21-CI22</f>
        <v>0</v>
      </c>
      <c r="CJ23" s="210">
        <f t="shared" si="27"/>
        <v>0</v>
      </c>
      <c r="CK23" s="210">
        <f t="shared" si="27"/>
        <v>0</v>
      </c>
      <c r="CL23" s="210">
        <f t="shared" si="27"/>
        <v>0</v>
      </c>
      <c r="CM23" s="210">
        <f t="shared" si="27"/>
        <v>0</v>
      </c>
      <c r="CN23" s="210">
        <f t="shared" si="27"/>
        <v>0</v>
      </c>
      <c r="CO23" s="210">
        <f t="shared" si="27"/>
        <v>0</v>
      </c>
      <c r="CP23" s="210">
        <f t="shared" si="27"/>
        <v>0</v>
      </c>
      <c r="CQ23" s="210">
        <f t="shared" si="27"/>
        <v>0</v>
      </c>
      <c r="CR23" s="210">
        <f t="shared" si="27"/>
        <v>0</v>
      </c>
      <c r="CS23" s="211">
        <f t="shared" si="27"/>
        <v>0</v>
      </c>
      <c r="CT23" s="212">
        <f>CS23</f>
        <v>0</v>
      </c>
      <c r="CU23" s="214"/>
      <c r="CV23" s="208">
        <f>AT23</f>
        <v>0</v>
      </c>
      <c r="CW23" s="215"/>
      <c r="CX23" s="180"/>
    </row>
    <row r="24" spans="1:102" s="228" customFormat="1" ht="15" customHeight="1" x14ac:dyDescent="0.2">
      <c r="A24" s="375" t="s">
        <v>430</v>
      </c>
      <c r="B24" s="224"/>
      <c r="C24" s="363"/>
      <c r="D24" s="223"/>
      <c r="E24" s="223"/>
      <c r="F24" s="223"/>
      <c r="G24" s="223"/>
      <c r="H24" s="223"/>
      <c r="I24" s="223"/>
      <c r="J24" s="223"/>
      <c r="K24" s="223"/>
      <c r="L24" s="223"/>
      <c r="M24" s="223"/>
      <c r="N24" s="223"/>
      <c r="O24" s="223"/>
      <c r="P24" s="223"/>
      <c r="Q24" s="223"/>
      <c r="R24" s="223"/>
      <c r="S24" s="223"/>
      <c r="T24" s="224"/>
      <c r="U24" s="223"/>
      <c r="V24" s="223"/>
      <c r="W24" s="223"/>
      <c r="X24" s="223"/>
      <c r="Y24" s="223"/>
      <c r="Z24" s="223"/>
      <c r="AA24" s="223"/>
      <c r="AB24" s="223"/>
      <c r="AC24" s="223"/>
      <c r="AD24" s="223"/>
      <c r="AE24" s="223"/>
      <c r="AF24" s="223"/>
      <c r="AG24" s="225"/>
      <c r="AH24" s="223"/>
      <c r="AI24" s="223"/>
      <c r="AJ24" s="223"/>
      <c r="AK24" s="223"/>
      <c r="AL24" s="223"/>
      <c r="AM24" s="223"/>
      <c r="AN24" s="223"/>
      <c r="AO24" s="223"/>
      <c r="AP24" s="223"/>
      <c r="AQ24" s="223"/>
      <c r="AR24" s="223"/>
      <c r="AS24" s="223"/>
      <c r="AT24" s="224"/>
      <c r="AU24" s="223"/>
      <c r="AV24" s="223"/>
      <c r="AW24" s="223"/>
      <c r="AX24" s="223"/>
      <c r="AY24" s="223"/>
      <c r="AZ24" s="223"/>
      <c r="BA24" s="223"/>
      <c r="BB24" s="223"/>
      <c r="BC24" s="223"/>
      <c r="BD24" s="223"/>
      <c r="BE24" s="223"/>
      <c r="BF24" s="223"/>
      <c r="BG24" s="225"/>
      <c r="BH24" s="223"/>
      <c r="BI24" s="223"/>
      <c r="BJ24" s="223"/>
      <c r="BK24" s="223"/>
      <c r="BL24" s="223"/>
      <c r="BM24" s="223"/>
      <c r="BN24" s="223"/>
      <c r="BO24" s="223"/>
      <c r="BP24" s="223"/>
      <c r="BQ24" s="223"/>
      <c r="BR24" s="223"/>
      <c r="BS24" s="223"/>
      <c r="BT24" s="225"/>
      <c r="BU24" s="223"/>
      <c r="BV24" s="223"/>
      <c r="BW24" s="223"/>
      <c r="BX24" s="223"/>
      <c r="BY24" s="223"/>
      <c r="BZ24" s="223"/>
      <c r="CA24" s="223"/>
      <c r="CB24" s="223"/>
      <c r="CC24" s="223"/>
      <c r="CD24" s="223"/>
      <c r="CE24" s="223"/>
      <c r="CF24" s="223"/>
      <c r="CG24" s="225"/>
      <c r="CH24" s="223"/>
      <c r="CI24" s="223"/>
      <c r="CJ24" s="223"/>
      <c r="CK24" s="223"/>
      <c r="CL24" s="223"/>
      <c r="CM24" s="223"/>
      <c r="CN24" s="223"/>
      <c r="CO24" s="223"/>
      <c r="CP24" s="223"/>
      <c r="CQ24" s="223"/>
      <c r="CR24" s="223"/>
      <c r="CS24" s="223"/>
      <c r="CT24" s="225"/>
      <c r="CU24" s="226"/>
      <c r="CV24" s="227"/>
      <c r="CW24" s="227"/>
      <c r="CX24" s="180"/>
    </row>
    <row r="25" spans="1:102" s="216" customFormat="1" ht="15" customHeight="1" x14ac:dyDescent="0.2">
      <c r="A25" s="376" t="s">
        <v>431</v>
      </c>
      <c r="B25" s="382">
        <f>SUM(T25,AG25,AT25,CT25)</f>
        <v>0</v>
      </c>
      <c r="C25" s="364"/>
      <c r="D25" s="352"/>
      <c r="E25" s="230"/>
      <c r="F25" s="229"/>
      <c r="G25" s="230"/>
      <c r="H25" s="341"/>
      <c r="I25" s="341"/>
      <c r="J25" s="341"/>
      <c r="K25" s="341"/>
      <c r="L25" s="341"/>
      <c r="M25" s="341"/>
      <c r="N25" s="341"/>
      <c r="O25" s="341"/>
      <c r="P25" s="341"/>
      <c r="Q25" s="341"/>
      <c r="R25" s="341"/>
      <c r="S25" s="342"/>
      <c r="T25" s="231">
        <f>SUM(H25:S25)</f>
        <v>0</v>
      </c>
      <c r="U25" s="388"/>
      <c r="V25" s="388"/>
      <c r="W25" s="388"/>
      <c r="X25" s="388"/>
      <c r="Y25" s="388"/>
      <c r="Z25" s="388"/>
      <c r="AA25" s="388"/>
      <c r="AB25" s="388"/>
      <c r="AC25" s="388"/>
      <c r="AD25" s="388"/>
      <c r="AE25" s="388"/>
      <c r="AF25" s="389"/>
      <c r="AG25" s="232">
        <f>SUM(U25:AF25)</f>
        <v>0</v>
      </c>
      <c r="AH25" s="388"/>
      <c r="AI25" s="388"/>
      <c r="AJ25" s="388"/>
      <c r="AK25" s="388"/>
      <c r="AL25" s="388"/>
      <c r="AM25" s="388"/>
      <c r="AN25" s="388"/>
      <c r="AO25" s="388"/>
      <c r="AP25" s="388"/>
      <c r="AQ25" s="388"/>
      <c r="AR25" s="388"/>
      <c r="AS25" s="389"/>
      <c r="AT25" s="231">
        <f>SUM(AH25:AS25)</f>
        <v>0</v>
      </c>
      <c r="AU25" s="388"/>
      <c r="AV25" s="388"/>
      <c r="AW25" s="388"/>
      <c r="AX25" s="388"/>
      <c r="AY25" s="388"/>
      <c r="AZ25" s="388"/>
      <c r="BA25" s="388"/>
      <c r="BB25" s="388"/>
      <c r="BC25" s="388"/>
      <c r="BD25" s="388"/>
      <c r="BE25" s="388"/>
      <c r="BF25" s="389"/>
      <c r="BG25" s="232">
        <f>SUM(AU25:BF25)</f>
        <v>0</v>
      </c>
      <c r="BH25" s="388"/>
      <c r="BI25" s="388"/>
      <c r="BJ25" s="388"/>
      <c r="BK25" s="388"/>
      <c r="BL25" s="388"/>
      <c r="BM25" s="388"/>
      <c r="BN25" s="388"/>
      <c r="BO25" s="388"/>
      <c r="BP25" s="388"/>
      <c r="BQ25" s="388"/>
      <c r="BR25" s="388"/>
      <c r="BS25" s="389"/>
      <c r="BT25" s="232">
        <f>SUM(BH25:BS25)</f>
        <v>0</v>
      </c>
      <c r="BU25" s="388"/>
      <c r="BV25" s="388"/>
      <c r="BW25" s="388"/>
      <c r="BX25" s="388"/>
      <c r="BY25" s="388"/>
      <c r="BZ25" s="388"/>
      <c r="CA25" s="388"/>
      <c r="CB25" s="388"/>
      <c r="CC25" s="388"/>
      <c r="CD25" s="388"/>
      <c r="CE25" s="388"/>
      <c r="CF25" s="389"/>
      <c r="CG25" s="232">
        <f>SUM(BU25:CF25)</f>
        <v>0</v>
      </c>
      <c r="CH25" s="388"/>
      <c r="CI25" s="388"/>
      <c r="CJ25" s="388"/>
      <c r="CK25" s="388"/>
      <c r="CL25" s="388"/>
      <c r="CM25" s="388"/>
      <c r="CN25" s="388"/>
      <c r="CO25" s="388"/>
      <c r="CP25" s="388"/>
      <c r="CQ25" s="388"/>
      <c r="CR25" s="388"/>
      <c r="CS25" s="389"/>
      <c r="CT25" s="232">
        <f>SUM(CH25:CS25)</f>
        <v>0</v>
      </c>
      <c r="CU25" s="214"/>
      <c r="CV25" s="178">
        <f>T25+AG25+AT25+BG25+BT25+CG25+CT25</f>
        <v>0</v>
      </c>
      <c r="CW25" s="233"/>
      <c r="CX25" s="180"/>
    </row>
    <row r="26" spans="1:102" s="216" customFormat="1" ht="15" customHeight="1" thickBot="1" x14ac:dyDescent="0.25">
      <c r="A26" s="376" t="s">
        <v>432</v>
      </c>
      <c r="B26" s="382">
        <f>SUM(T26,AG26,AT26,CT26)</f>
        <v>0</v>
      </c>
      <c r="C26" s="365"/>
      <c r="D26" s="353"/>
      <c r="E26" s="235"/>
      <c r="F26" s="234"/>
      <c r="G26" s="235"/>
      <c r="H26" s="398"/>
      <c r="I26" s="398"/>
      <c r="J26" s="398"/>
      <c r="K26" s="398"/>
      <c r="L26" s="398"/>
      <c r="M26" s="398"/>
      <c r="N26" s="398"/>
      <c r="O26" s="398"/>
      <c r="P26" s="393"/>
      <c r="Q26" s="393"/>
      <c r="R26" s="398"/>
      <c r="S26" s="399"/>
      <c r="T26" s="231">
        <f>SUM(H26:S26)</f>
        <v>0</v>
      </c>
      <c r="U26" s="414"/>
      <c r="V26" s="414"/>
      <c r="W26" s="414"/>
      <c r="X26" s="414"/>
      <c r="Y26" s="414"/>
      <c r="Z26" s="414"/>
      <c r="AA26" s="414"/>
      <c r="AB26" s="414"/>
      <c r="AC26" s="414"/>
      <c r="AD26" s="414"/>
      <c r="AE26" s="414"/>
      <c r="AF26" s="415"/>
      <c r="AG26" s="416">
        <f>SUM(U26:AF26)</f>
        <v>0</v>
      </c>
      <c r="AH26" s="414"/>
      <c r="AI26" s="414"/>
      <c r="AJ26" s="414"/>
      <c r="AK26" s="414"/>
      <c r="AL26" s="414"/>
      <c r="AM26" s="414"/>
      <c r="AN26" s="414"/>
      <c r="AO26" s="414"/>
      <c r="AP26" s="414"/>
      <c r="AQ26" s="414"/>
      <c r="AR26" s="414"/>
      <c r="AS26" s="415"/>
      <c r="AT26" s="231">
        <f>SUM(AH26:AS26)</f>
        <v>0</v>
      </c>
      <c r="AU26" s="414"/>
      <c r="AV26" s="414"/>
      <c r="AW26" s="414"/>
      <c r="AX26" s="414"/>
      <c r="AY26" s="414"/>
      <c r="AZ26" s="414"/>
      <c r="BA26" s="414"/>
      <c r="BB26" s="414"/>
      <c r="BC26" s="414"/>
      <c r="BD26" s="414"/>
      <c r="BE26" s="414"/>
      <c r="BF26" s="415"/>
      <c r="BG26" s="232">
        <f>SUM(AU26:BF26)</f>
        <v>0</v>
      </c>
      <c r="BH26" s="414"/>
      <c r="BI26" s="414"/>
      <c r="BJ26" s="414"/>
      <c r="BK26" s="414"/>
      <c r="BL26" s="414"/>
      <c r="BM26" s="414"/>
      <c r="BN26" s="414"/>
      <c r="BO26" s="414"/>
      <c r="BP26" s="414"/>
      <c r="BQ26" s="414"/>
      <c r="BR26" s="414"/>
      <c r="BS26" s="415"/>
      <c r="BT26" s="232">
        <f>SUM(BH26:BS26)</f>
        <v>0</v>
      </c>
      <c r="BU26" s="414"/>
      <c r="BV26" s="414"/>
      <c r="BW26" s="414"/>
      <c r="BX26" s="414"/>
      <c r="BY26" s="414"/>
      <c r="BZ26" s="414"/>
      <c r="CA26" s="414"/>
      <c r="CB26" s="414"/>
      <c r="CC26" s="414"/>
      <c r="CD26" s="414"/>
      <c r="CE26" s="414"/>
      <c r="CF26" s="415"/>
      <c r="CG26" s="232">
        <f>SUM(BU26:CF26)</f>
        <v>0</v>
      </c>
      <c r="CH26" s="414"/>
      <c r="CI26" s="414"/>
      <c r="CJ26" s="414"/>
      <c r="CK26" s="414"/>
      <c r="CL26" s="414"/>
      <c r="CM26" s="414"/>
      <c r="CN26" s="414"/>
      <c r="CO26" s="414"/>
      <c r="CP26" s="414"/>
      <c r="CQ26" s="414"/>
      <c r="CR26" s="414"/>
      <c r="CS26" s="415"/>
      <c r="CT26" s="232">
        <f>SUM(CH26:CS26)</f>
        <v>0</v>
      </c>
      <c r="CU26" s="214"/>
      <c r="CV26" s="178">
        <f>T26+AG26+AT26+BG26+BT26+CG26+CT26</f>
        <v>0</v>
      </c>
      <c r="CW26" s="236"/>
      <c r="CX26" s="180"/>
    </row>
    <row r="27" spans="1:102" s="109" customFormat="1" ht="15.75" customHeight="1" thickBot="1" x14ac:dyDescent="0.25">
      <c r="A27" s="377" t="s">
        <v>433</v>
      </c>
      <c r="B27" s="383">
        <f>SUM(B25:B26)</f>
        <v>0</v>
      </c>
      <c r="C27" s="366"/>
      <c r="D27" s="354"/>
      <c r="E27" s="238"/>
      <c r="F27" s="237"/>
      <c r="G27" s="397"/>
      <c r="H27" s="400">
        <f t="shared" ref="H27:AM27" si="28">SUM(H25:H26)</f>
        <v>0</v>
      </c>
      <c r="I27" s="401">
        <f t="shared" si="28"/>
        <v>0</v>
      </c>
      <c r="J27" s="401">
        <f t="shared" si="28"/>
        <v>0</v>
      </c>
      <c r="K27" s="401">
        <f t="shared" si="28"/>
        <v>0</v>
      </c>
      <c r="L27" s="401">
        <f t="shared" si="28"/>
        <v>0</v>
      </c>
      <c r="M27" s="401">
        <f t="shared" si="28"/>
        <v>0</v>
      </c>
      <c r="N27" s="401">
        <f t="shared" si="28"/>
        <v>0</v>
      </c>
      <c r="O27" s="401">
        <f t="shared" si="28"/>
        <v>0</v>
      </c>
      <c r="P27" s="401">
        <f t="shared" si="28"/>
        <v>0</v>
      </c>
      <c r="Q27" s="401">
        <f t="shared" si="28"/>
        <v>0</v>
      </c>
      <c r="R27" s="401">
        <f t="shared" si="28"/>
        <v>0</v>
      </c>
      <c r="S27" s="402">
        <f t="shared" si="28"/>
        <v>0</v>
      </c>
      <c r="T27" s="239">
        <f t="shared" si="28"/>
        <v>0</v>
      </c>
      <c r="U27" s="417">
        <f t="shared" si="28"/>
        <v>0</v>
      </c>
      <c r="V27" s="401">
        <f t="shared" si="28"/>
        <v>0</v>
      </c>
      <c r="W27" s="401">
        <f t="shared" si="28"/>
        <v>0</v>
      </c>
      <c r="X27" s="401">
        <f t="shared" si="28"/>
        <v>0</v>
      </c>
      <c r="Y27" s="401">
        <f t="shared" si="28"/>
        <v>0</v>
      </c>
      <c r="Z27" s="401">
        <f t="shared" si="28"/>
        <v>0</v>
      </c>
      <c r="AA27" s="401">
        <f t="shared" si="28"/>
        <v>0</v>
      </c>
      <c r="AB27" s="401">
        <f t="shared" si="28"/>
        <v>0</v>
      </c>
      <c r="AC27" s="401">
        <f t="shared" si="28"/>
        <v>0</v>
      </c>
      <c r="AD27" s="401">
        <f t="shared" si="28"/>
        <v>0</v>
      </c>
      <c r="AE27" s="401">
        <f t="shared" si="28"/>
        <v>0</v>
      </c>
      <c r="AF27" s="413">
        <f t="shared" si="28"/>
        <v>0</v>
      </c>
      <c r="AG27" s="239">
        <f t="shared" si="28"/>
        <v>0</v>
      </c>
      <c r="AH27" s="417">
        <f t="shared" si="28"/>
        <v>0</v>
      </c>
      <c r="AI27" s="401">
        <f t="shared" si="28"/>
        <v>0</v>
      </c>
      <c r="AJ27" s="401">
        <f t="shared" si="28"/>
        <v>0</v>
      </c>
      <c r="AK27" s="401">
        <f t="shared" si="28"/>
        <v>0</v>
      </c>
      <c r="AL27" s="401">
        <f t="shared" si="28"/>
        <v>0</v>
      </c>
      <c r="AM27" s="401">
        <f t="shared" si="28"/>
        <v>0</v>
      </c>
      <c r="AN27" s="401">
        <f t="shared" ref="AN27:AT27" si="29">SUM(AN25:AN26)</f>
        <v>0</v>
      </c>
      <c r="AO27" s="401">
        <f t="shared" si="29"/>
        <v>0</v>
      </c>
      <c r="AP27" s="401">
        <f t="shared" si="29"/>
        <v>0</v>
      </c>
      <c r="AQ27" s="401">
        <f t="shared" si="29"/>
        <v>0</v>
      </c>
      <c r="AR27" s="401">
        <f t="shared" si="29"/>
        <v>0</v>
      </c>
      <c r="AS27" s="402">
        <f t="shared" si="29"/>
        <v>0</v>
      </c>
      <c r="AT27" s="239">
        <f t="shared" si="29"/>
        <v>0</v>
      </c>
      <c r="AU27" s="417">
        <f t="shared" ref="AU27:CG27" si="30">SUM(AU25:AU26)</f>
        <v>0</v>
      </c>
      <c r="AV27" s="401">
        <f t="shared" si="30"/>
        <v>0</v>
      </c>
      <c r="AW27" s="401">
        <f t="shared" si="30"/>
        <v>0</v>
      </c>
      <c r="AX27" s="401">
        <f t="shared" si="30"/>
        <v>0</v>
      </c>
      <c r="AY27" s="401">
        <f t="shared" si="30"/>
        <v>0</v>
      </c>
      <c r="AZ27" s="401">
        <f t="shared" si="30"/>
        <v>0</v>
      </c>
      <c r="BA27" s="401">
        <f t="shared" si="30"/>
        <v>0</v>
      </c>
      <c r="BB27" s="401">
        <f t="shared" si="30"/>
        <v>0</v>
      </c>
      <c r="BC27" s="401">
        <f t="shared" si="30"/>
        <v>0</v>
      </c>
      <c r="BD27" s="401">
        <f t="shared" si="30"/>
        <v>0</v>
      </c>
      <c r="BE27" s="401">
        <f t="shared" si="30"/>
        <v>0</v>
      </c>
      <c r="BF27" s="402">
        <f t="shared" si="30"/>
        <v>0</v>
      </c>
      <c r="BG27" s="239">
        <f t="shared" si="30"/>
        <v>0</v>
      </c>
      <c r="BH27" s="417">
        <f t="shared" si="30"/>
        <v>0</v>
      </c>
      <c r="BI27" s="401">
        <f t="shared" si="30"/>
        <v>0</v>
      </c>
      <c r="BJ27" s="401">
        <f t="shared" si="30"/>
        <v>0</v>
      </c>
      <c r="BK27" s="401">
        <f t="shared" si="30"/>
        <v>0</v>
      </c>
      <c r="BL27" s="401">
        <f t="shared" si="30"/>
        <v>0</v>
      </c>
      <c r="BM27" s="401">
        <f t="shared" si="30"/>
        <v>0</v>
      </c>
      <c r="BN27" s="401">
        <f t="shared" si="30"/>
        <v>0</v>
      </c>
      <c r="BO27" s="401">
        <f t="shared" si="30"/>
        <v>0</v>
      </c>
      <c r="BP27" s="401">
        <f t="shared" si="30"/>
        <v>0</v>
      </c>
      <c r="BQ27" s="401">
        <f t="shared" si="30"/>
        <v>0</v>
      </c>
      <c r="BR27" s="401">
        <f t="shared" si="30"/>
        <v>0</v>
      </c>
      <c r="BS27" s="402">
        <f t="shared" si="30"/>
        <v>0</v>
      </c>
      <c r="BT27" s="239">
        <f t="shared" si="30"/>
        <v>0</v>
      </c>
      <c r="BU27" s="417">
        <f t="shared" si="30"/>
        <v>0</v>
      </c>
      <c r="BV27" s="401">
        <f t="shared" si="30"/>
        <v>0</v>
      </c>
      <c r="BW27" s="401">
        <f t="shared" si="30"/>
        <v>0</v>
      </c>
      <c r="BX27" s="401">
        <f t="shared" si="30"/>
        <v>0</v>
      </c>
      <c r="BY27" s="401">
        <f t="shared" si="30"/>
        <v>0</v>
      </c>
      <c r="BZ27" s="401">
        <f t="shared" si="30"/>
        <v>0</v>
      </c>
      <c r="CA27" s="401">
        <f t="shared" si="30"/>
        <v>0</v>
      </c>
      <c r="CB27" s="401">
        <f t="shared" si="30"/>
        <v>0</v>
      </c>
      <c r="CC27" s="401">
        <f t="shared" si="30"/>
        <v>0</v>
      </c>
      <c r="CD27" s="401">
        <f t="shared" si="30"/>
        <v>0</v>
      </c>
      <c r="CE27" s="401">
        <f t="shared" si="30"/>
        <v>0</v>
      </c>
      <c r="CF27" s="402">
        <f t="shared" si="30"/>
        <v>0</v>
      </c>
      <c r="CG27" s="239">
        <f t="shared" si="30"/>
        <v>0</v>
      </c>
      <c r="CH27" s="417">
        <f t="shared" ref="CH27:CT27" si="31">SUM(CH25:CH26)</f>
        <v>0</v>
      </c>
      <c r="CI27" s="401">
        <f t="shared" si="31"/>
        <v>0</v>
      </c>
      <c r="CJ27" s="401">
        <f t="shared" si="31"/>
        <v>0</v>
      </c>
      <c r="CK27" s="401">
        <f t="shared" si="31"/>
        <v>0</v>
      </c>
      <c r="CL27" s="401">
        <f t="shared" si="31"/>
        <v>0</v>
      </c>
      <c r="CM27" s="401">
        <f t="shared" si="31"/>
        <v>0</v>
      </c>
      <c r="CN27" s="401">
        <f t="shared" si="31"/>
        <v>0</v>
      </c>
      <c r="CO27" s="401">
        <f t="shared" si="31"/>
        <v>0</v>
      </c>
      <c r="CP27" s="401">
        <f t="shared" si="31"/>
        <v>0</v>
      </c>
      <c r="CQ27" s="401">
        <f t="shared" si="31"/>
        <v>0</v>
      </c>
      <c r="CR27" s="401">
        <f t="shared" si="31"/>
        <v>0</v>
      </c>
      <c r="CS27" s="402">
        <f t="shared" si="31"/>
        <v>0</v>
      </c>
      <c r="CT27" s="239">
        <f t="shared" si="31"/>
        <v>0</v>
      </c>
      <c r="CU27" s="240"/>
      <c r="CV27" s="418">
        <f>SUM(CV25:CV26)</f>
        <v>0</v>
      </c>
      <c r="CW27" s="238">
        <f>SUM(CW25:CW26)</f>
        <v>0</v>
      </c>
      <c r="CX27" s="180"/>
    </row>
    <row r="28" spans="1:102" s="109" customFormat="1" ht="15" customHeight="1" x14ac:dyDescent="0.2">
      <c r="A28" s="241" t="s">
        <v>434</v>
      </c>
      <c r="B28" s="242"/>
      <c r="C28" s="243"/>
      <c r="D28" s="244"/>
      <c r="F28" s="244"/>
      <c r="H28" s="245"/>
      <c r="I28" s="245"/>
      <c r="J28" s="245"/>
      <c r="K28" s="245"/>
      <c r="L28" s="245"/>
      <c r="M28" s="245"/>
      <c r="N28" s="245"/>
      <c r="O28" s="245"/>
      <c r="P28" s="245"/>
      <c r="Q28" s="245"/>
      <c r="R28" s="245"/>
      <c r="S28" s="245"/>
      <c r="T28" s="141"/>
      <c r="U28" s="245"/>
      <c r="V28" s="245"/>
      <c r="W28" s="245"/>
      <c r="X28" s="245"/>
      <c r="Y28" s="245"/>
      <c r="Z28" s="245"/>
      <c r="AA28" s="245"/>
      <c r="AB28" s="245"/>
      <c r="AC28" s="245"/>
      <c r="AD28" s="245"/>
      <c r="AE28" s="245"/>
      <c r="AF28" s="245"/>
      <c r="AG28" s="141"/>
      <c r="AH28" s="245"/>
      <c r="AI28" s="245"/>
      <c r="AJ28" s="245"/>
      <c r="AK28" s="245"/>
      <c r="AL28" s="245"/>
      <c r="AM28" s="245"/>
      <c r="AN28" s="245"/>
      <c r="AO28" s="245"/>
      <c r="AP28" s="245"/>
      <c r="AQ28" s="245"/>
      <c r="AR28" s="245"/>
      <c r="AS28" s="245"/>
      <c r="AT28" s="141"/>
      <c r="AU28" s="141"/>
      <c r="AV28" s="141"/>
      <c r="AW28" s="141"/>
      <c r="AX28" s="141"/>
      <c r="AY28" s="141"/>
      <c r="AZ28" s="141"/>
      <c r="BA28" s="141"/>
      <c r="BB28" s="141"/>
      <c r="BC28" s="141"/>
      <c r="BD28" s="141"/>
      <c r="BE28" s="141"/>
      <c r="BF28" s="141"/>
      <c r="BG28" s="141"/>
      <c r="BH28" s="141"/>
      <c r="BI28" s="141"/>
      <c r="BJ28" s="141"/>
      <c r="BK28" s="141"/>
      <c r="BL28" s="141"/>
      <c r="BM28" s="141"/>
      <c r="BN28" s="141"/>
      <c r="BO28" s="141"/>
      <c r="BP28" s="141"/>
      <c r="BQ28" s="141"/>
      <c r="BR28" s="141"/>
      <c r="BS28" s="141"/>
      <c r="BT28" s="141"/>
      <c r="BU28" s="141"/>
      <c r="BV28" s="141"/>
      <c r="BW28" s="141"/>
      <c r="BX28" s="141"/>
      <c r="BY28" s="141"/>
      <c r="BZ28" s="141"/>
      <c r="CA28" s="141"/>
      <c r="CB28" s="141"/>
      <c r="CC28" s="141"/>
      <c r="CD28" s="141"/>
      <c r="CE28" s="141"/>
      <c r="CF28" s="141"/>
      <c r="CG28" s="141"/>
      <c r="CH28" s="141"/>
      <c r="CI28" s="141"/>
      <c r="CJ28" s="141"/>
      <c r="CK28" s="141"/>
      <c r="CL28" s="141"/>
      <c r="CM28" s="141"/>
      <c r="CN28" s="141"/>
      <c r="CO28" s="141"/>
      <c r="CP28" s="141"/>
      <c r="CQ28" s="141"/>
      <c r="CR28" s="141"/>
      <c r="CS28" s="141"/>
      <c r="CT28" s="141"/>
      <c r="CV28" s="141"/>
    </row>
    <row r="29" spans="1:102" s="138" customFormat="1" ht="16.5" customHeight="1" x14ac:dyDescent="0.2">
      <c r="A29" s="138" t="s">
        <v>430</v>
      </c>
      <c r="B29" s="582"/>
      <c r="C29" s="246"/>
      <c r="K29" s="139"/>
      <c r="V29" s="139"/>
      <c r="AG29" s="255">
        <f>AG25</f>
        <v>0</v>
      </c>
      <c r="AT29" s="255"/>
    </row>
    <row r="30" spans="1:102" ht="63.75" x14ac:dyDescent="0.2">
      <c r="A30" s="241" t="s">
        <v>210</v>
      </c>
      <c r="B30" s="246"/>
      <c r="C30" s="247"/>
      <c r="D30" s="248"/>
      <c r="E30" s="138"/>
      <c r="F30" s="248"/>
      <c r="G30" s="249"/>
      <c r="H30" s="106"/>
      <c r="I30" s="106"/>
      <c r="J30" s="141"/>
      <c r="K30" s="141"/>
      <c r="L30" s="106"/>
      <c r="M30" s="106"/>
      <c r="N30" s="106"/>
      <c r="O30" s="106"/>
      <c r="P30" s="106"/>
      <c r="Q30" s="106"/>
      <c r="R30" s="106"/>
      <c r="S30" s="106"/>
      <c r="T30" s="106"/>
      <c r="U30" s="106"/>
      <c r="V30" s="141"/>
      <c r="W30" s="106"/>
      <c r="X30" s="106"/>
      <c r="Y30" s="106"/>
      <c r="Z30" s="106"/>
      <c r="AA30" s="106"/>
      <c r="AB30" s="106"/>
      <c r="AC30" s="106"/>
      <c r="AD30" s="106"/>
      <c r="AE30" s="138"/>
      <c r="AF30" s="138"/>
      <c r="AG30" s="138"/>
      <c r="AH30" s="138"/>
      <c r="AI30" s="138"/>
      <c r="AJ30" s="138"/>
      <c r="AK30" s="138"/>
      <c r="AL30" s="138"/>
      <c r="AM30" s="138"/>
      <c r="AN30" s="138"/>
      <c r="AO30" s="138"/>
      <c r="AP30" s="106"/>
      <c r="AS30" s="106"/>
      <c r="AT30" s="138"/>
      <c r="AU30" s="138"/>
      <c r="AV30" s="138"/>
      <c r="AW30" s="138"/>
      <c r="AX30" s="138"/>
      <c r="AY30" s="138"/>
      <c r="AZ30" s="138"/>
      <c r="BA30" s="138"/>
      <c r="BB30" s="138"/>
      <c r="BC30" s="138"/>
      <c r="BD30" s="138"/>
      <c r="BE30" s="138"/>
      <c r="BF30" s="138"/>
      <c r="BG30" s="138"/>
      <c r="BH30" s="138"/>
      <c r="BI30" s="138"/>
      <c r="BJ30" s="138"/>
      <c r="BK30" s="138"/>
      <c r="BL30" s="138"/>
      <c r="BM30" s="138"/>
      <c r="BN30" s="138"/>
      <c r="BO30" s="138"/>
      <c r="BP30" s="138"/>
      <c r="BQ30" s="138"/>
      <c r="BR30" s="138"/>
      <c r="BS30" s="138"/>
      <c r="BT30" s="138"/>
      <c r="BU30" s="138"/>
      <c r="BV30" s="138"/>
      <c r="BW30" s="138"/>
      <c r="BX30" s="138"/>
      <c r="BY30" s="138"/>
      <c r="BZ30" s="138"/>
      <c r="CA30" s="138"/>
      <c r="CB30" s="138"/>
      <c r="CC30" s="138"/>
      <c r="CD30" s="138"/>
      <c r="CE30" s="138"/>
      <c r="CF30" s="138"/>
      <c r="CG30" s="138"/>
      <c r="CH30" s="106"/>
      <c r="CI30" s="106"/>
      <c r="CJ30" s="106"/>
      <c r="CK30" s="106"/>
      <c r="CL30" s="106"/>
      <c r="CM30" s="106"/>
      <c r="CN30" s="106"/>
      <c r="CO30" s="106"/>
      <c r="CP30" s="106"/>
      <c r="CQ30" s="106"/>
      <c r="CR30" s="106"/>
      <c r="CS30" s="106"/>
      <c r="CT30" s="106"/>
      <c r="CU30" s="106"/>
      <c r="CV30" s="106"/>
      <c r="CW30" s="106"/>
    </row>
    <row r="31" spans="1:102" ht="51" x14ac:dyDescent="0.2">
      <c r="A31" s="241" t="s">
        <v>211</v>
      </c>
      <c r="B31" s="253"/>
      <c r="C31" s="247"/>
      <c r="D31" s="254"/>
      <c r="E31" s="135"/>
      <c r="F31" s="135"/>
      <c r="G31" s="135"/>
      <c r="R31" s="252"/>
      <c r="S31" s="252"/>
      <c r="X31" s="251"/>
      <c r="AE31" s="138"/>
      <c r="AF31" s="255"/>
      <c r="AG31" s="138"/>
      <c r="AH31" s="138"/>
      <c r="AI31" s="138"/>
      <c r="AJ31" s="138"/>
      <c r="AK31" s="138"/>
      <c r="AL31" s="138"/>
      <c r="AM31" s="138"/>
      <c r="AN31" s="138"/>
      <c r="AO31" s="138"/>
      <c r="AP31" s="200"/>
    </row>
    <row r="32" spans="1:102" ht="14.25" customHeight="1" x14ac:dyDescent="0.2">
      <c r="A32" s="250"/>
      <c r="B32" s="250"/>
      <c r="C32" s="250"/>
      <c r="D32" s="135"/>
      <c r="E32" s="135"/>
      <c r="F32" s="135"/>
      <c r="G32" s="135"/>
      <c r="S32" s="252"/>
      <c r="X32" s="251"/>
      <c r="AE32" s="138"/>
      <c r="AF32" s="138"/>
      <c r="AG32" s="138"/>
      <c r="AH32" s="138"/>
      <c r="AI32" s="138"/>
      <c r="AJ32" s="138"/>
      <c r="AK32" s="138"/>
      <c r="AL32" s="138"/>
      <c r="AM32" s="138"/>
      <c r="AN32" s="138"/>
      <c r="AO32" s="138"/>
      <c r="AP32" s="200"/>
    </row>
    <row r="33" spans="1:43" ht="14.25" customHeight="1" x14ac:dyDescent="0.2">
      <c r="A33" s="250"/>
      <c r="B33" s="250"/>
      <c r="C33" s="250"/>
      <c r="D33" s="135"/>
      <c r="E33" s="135"/>
      <c r="F33" s="135"/>
      <c r="G33" s="135"/>
      <c r="Q33" s="252"/>
      <c r="X33" s="251"/>
      <c r="AE33" s="138"/>
      <c r="AF33" s="138"/>
      <c r="AG33" s="138"/>
      <c r="AH33" s="138"/>
      <c r="AI33" s="138"/>
      <c r="AJ33" s="138"/>
      <c r="AK33" s="138"/>
      <c r="AL33" s="138"/>
      <c r="AM33" s="138"/>
      <c r="AN33" s="138"/>
      <c r="AO33" s="138"/>
      <c r="AP33" s="200"/>
    </row>
    <row r="34" spans="1:43" ht="15" customHeight="1" x14ac:dyDescent="0.2">
      <c r="A34" s="250"/>
      <c r="B34" s="247"/>
      <c r="C34" s="247"/>
      <c r="U34" s="252"/>
      <c r="AE34" s="138"/>
      <c r="AF34" s="138"/>
      <c r="AG34" s="138"/>
      <c r="AH34" s="138"/>
      <c r="AI34" s="138"/>
      <c r="AJ34" s="138"/>
      <c r="AK34" s="138"/>
      <c r="AL34" s="138"/>
      <c r="AM34" s="138"/>
      <c r="AN34" s="138"/>
      <c r="AO34" s="138"/>
      <c r="AQ34" s="200"/>
    </row>
    <row r="35" spans="1:43" ht="15" customHeight="1" x14ac:dyDescent="0.2">
      <c r="A35" s="256"/>
      <c r="AE35" s="138"/>
      <c r="AF35" s="138"/>
      <c r="AG35" s="138"/>
      <c r="AH35" s="138"/>
      <c r="AI35" s="138"/>
      <c r="AJ35" s="138"/>
      <c r="AK35" s="138"/>
      <c r="AL35" s="138"/>
      <c r="AM35" s="138"/>
      <c r="AN35" s="138"/>
      <c r="AO35" s="138"/>
    </row>
    <row r="36" spans="1:43" ht="21" customHeight="1" x14ac:dyDescent="0.2">
      <c r="A36" s="596"/>
      <c r="B36" s="597"/>
      <c r="C36" s="597"/>
      <c r="AE36" s="138"/>
      <c r="AF36" s="138"/>
      <c r="AG36" s="138"/>
      <c r="AH36" s="138"/>
      <c r="AI36" s="138"/>
      <c r="AJ36" s="138"/>
      <c r="AK36" s="138"/>
      <c r="AL36" s="138"/>
      <c r="AM36" s="138"/>
      <c r="AN36" s="138"/>
      <c r="AO36" s="138"/>
    </row>
    <row r="37" spans="1:43" ht="14.25" customHeight="1" x14ac:dyDescent="0.2">
      <c r="A37" s="597"/>
      <c r="B37" s="597"/>
      <c r="C37" s="597"/>
      <c r="AE37" s="138"/>
      <c r="AF37" s="138"/>
      <c r="AG37" s="138"/>
      <c r="AH37" s="138"/>
      <c r="AI37" s="138"/>
      <c r="AJ37" s="138"/>
      <c r="AK37" s="138"/>
      <c r="AL37" s="138"/>
      <c r="AM37" s="138"/>
      <c r="AN37" s="138"/>
      <c r="AO37" s="138"/>
    </row>
    <row r="38" spans="1:43" ht="13.5" customHeight="1" x14ac:dyDescent="0.2">
      <c r="A38" s="597"/>
      <c r="B38" s="597"/>
      <c r="C38" s="597"/>
      <c r="AE38" s="138"/>
      <c r="AF38" s="138"/>
      <c r="AG38" s="138"/>
      <c r="AH38" s="138"/>
      <c r="AI38" s="138"/>
      <c r="AJ38" s="138"/>
      <c r="AK38" s="138"/>
      <c r="AL38" s="138"/>
      <c r="AM38" s="138"/>
      <c r="AN38" s="138"/>
      <c r="AO38" s="138"/>
    </row>
    <row r="39" spans="1:43" s="257" customFormat="1" ht="15" customHeight="1" x14ac:dyDescent="0.2">
      <c r="A39" s="249"/>
      <c r="K39" s="258"/>
      <c r="V39" s="258"/>
      <c r="AG39" s="259"/>
      <c r="AI39" s="138"/>
      <c r="AJ39" s="138"/>
      <c r="AK39" s="138"/>
      <c r="AL39" s="138"/>
      <c r="AM39" s="138"/>
      <c r="AN39" s="138"/>
      <c r="AO39" s="138"/>
    </row>
    <row r="40" spans="1:43" s="257" customFormat="1" ht="13.5" customHeight="1" x14ac:dyDescent="0.2">
      <c r="A40" s="596"/>
      <c r="B40" s="597"/>
      <c r="C40" s="597"/>
      <c r="K40" s="258"/>
      <c r="V40" s="258"/>
      <c r="AI40" s="138"/>
      <c r="AJ40" s="138"/>
      <c r="AK40" s="138"/>
      <c r="AL40" s="138"/>
      <c r="AM40" s="138"/>
      <c r="AN40" s="138"/>
      <c r="AO40" s="138"/>
    </row>
    <row r="41" spans="1:43" s="257" customFormat="1" ht="18" customHeight="1" x14ac:dyDescent="0.2">
      <c r="A41" s="597"/>
      <c r="B41" s="597"/>
      <c r="C41" s="597"/>
      <c r="K41" s="258"/>
      <c r="V41" s="258"/>
      <c r="AI41" s="138"/>
      <c r="AJ41" s="138"/>
      <c r="AK41" s="138"/>
      <c r="AL41" s="138"/>
      <c r="AM41" s="138"/>
      <c r="AN41" s="138"/>
      <c r="AO41" s="138"/>
    </row>
    <row r="42" spans="1:43" s="257" customFormat="1" ht="13.5" customHeight="1" x14ac:dyDescent="0.2">
      <c r="A42" s="106"/>
      <c r="K42" s="258"/>
      <c r="V42" s="258"/>
      <c r="AI42" s="138"/>
      <c r="AJ42" s="138"/>
      <c r="AK42" s="138"/>
      <c r="AL42" s="138"/>
      <c r="AM42" s="138"/>
      <c r="AN42" s="138"/>
      <c r="AO42" s="138"/>
    </row>
    <row r="43" spans="1:43" s="257" customFormat="1" ht="13.5" customHeight="1" x14ac:dyDescent="0.2">
      <c r="A43" s="106"/>
      <c r="K43" s="258"/>
      <c r="V43" s="258"/>
      <c r="AI43" s="138"/>
      <c r="AJ43" s="138"/>
      <c r="AK43" s="138"/>
      <c r="AL43" s="138"/>
      <c r="AM43" s="138"/>
      <c r="AN43" s="138"/>
      <c r="AO43" s="138"/>
    </row>
    <row r="44" spans="1:43" s="257" customFormat="1" ht="18.75" customHeight="1" x14ac:dyDescent="0.2">
      <c r="A44" s="106"/>
      <c r="K44" s="258"/>
      <c r="V44" s="258"/>
      <c r="AI44" s="138"/>
      <c r="AJ44" s="138"/>
      <c r="AK44" s="138"/>
      <c r="AL44" s="138"/>
      <c r="AM44" s="138"/>
      <c r="AN44" s="138"/>
      <c r="AO44" s="138"/>
    </row>
    <row r="45" spans="1:43" s="257" customFormat="1" ht="18.75" customHeight="1" x14ac:dyDescent="0.2">
      <c r="A45" s="106"/>
      <c r="K45" s="258"/>
      <c r="V45" s="258"/>
      <c r="AI45" s="258"/>
    </row>
    <row r="46" spans="1:43" s="257" customFormat="1" ht="13.5" customHeight="1" x14ac:dyDescent="0.2">
      <c r="A46" s="106"/>
      <c r="K46" s="258"/>
      <c r="V46" s="258"/>
      <c r="AI46" s="258"/>
    </row>
    <row r="47" spans="1:43" s="257" customFormat="1" ht="13.5" customHeight="1" x14ac:dyDescent="0.2">
      <c r="A47" s="106"/>
      <c r="K47" s="258"/>
      <c r="V47" s="258"/>
      <c r="AI47" s="258"/>
    </row>
    <row r="48" spans="1:43" s="257" customFormat="1" ht="15" x14ac:dyDescent="0.2">
      <c r="A48" s="106"/>
      <c r="B48" s="260"/>
      <c r="C48" s="261"/>
      <c r="D48" s="260"/>
      <c r="E48" s="261"/>
      <c r="F48" s="260"/>
      <c r="G48" s="261"/>
      <c r="K48" s="258"/>
      <c r="V48" s="258"/>
      <c r="AI48" s="258"/>
    </row>
    <row r="49" spans="1:35" s="257" customFormat="1" ht="15" x14ac:dyDescent="0.2">
      <c r="A49" s="106"/>
      <c r="B49" s="135"/>
      <c r="C49" s="262"/>
      <c r="D49" s="135"/>
      <c r="E49" s="262"/>
      <c r="F49" s="135"/>
      <c r="G49" s="262"/>
      <c r="K49" s="258"/>
      <c r="V49" s="258"/>
      <c r="AI49" s="258"/>
    </row>
    <row r="50" spans="1:35" s="257" customFormat="1" ht="15" x14ac:dyDescent="0.2">
      <c r="A50" s="248"/>
      <c r="B50" s="263"/>
      <c r="C50" s="135"/>
      <c r="D50" s="263"/>
      <c r="E50" s="135"/>
      <c r="F50" s="263"/>
      <c r="G50" s="135"/>
      <c r="H50" s="137"/>
      <c r="I50" s="137"/>
      <c r="J50" s="137"/>
      <c r="K50" s="251"/>
      <c r="L50" s="137"/>
      <c r="M50" s="137"/>
      <c r="N50" s="137"/>
      <c r="O50" s="137"/>
      <c r="P50" s="137"/>
      <c r="Q50" s="137"/>
      <c r="R50" s="137"/>
      <c r="S50" s="137"/>
      <c r="T50" s="137"/>
      <c r="V50" s="258"/>
      <c r="AI50" s="258"/>
    </row>
    <row r="51" spans="1:35" s="257" customFormat="1" ht="13.5" customHeight="1" x14ac:dyDescent="0.2">
      <c r="A51" s="264"/>
      <c r="B51" s="135"/>
      <c r="C51" s="261"/>
      <c r="D51" s="135"/>
      <c r="E51" s="261"/>
      <c r="F51" s="135"/>
      <c r="G51" s="261"/>
      <c r="H51" s="137"/>
      <c r="I51" s="137"/>
      <c r="J51" s="137"/>
      <c r="K51" s="251"/>
      <c r="L51" s="137"/>
      <c r="M51" s="137"/>
      <c r="N51" s="137"/>
      <c r="O51" s="137"/>
      <c r="P51" s="137"/>
      <c r="Q51" s="137"/>
      <c r="R51" s="137"/>
      <c r="S51" s="137"/>
      <c r="T51" s="137"/>
      <c r="V51" s="258"/>
      <c r="AI51" s="258"/>
    </row>
    <row r="52" spans="1:35" s="257" customFormat="1" ht="15" x14ac:dyDescent="0.2">
      <c r="A52" s="264"/>
      <c r="B52" s="260"/>
      <c r="C52" s="261"/>
      <c r="D52" s="260"/>
      <c r="E52" s="261"/>
      <c r="F52" s="260"/>
      <c r="G52" s="261"/>
      <c r="H52" s="137"/>
      <c r="I52" s="137"/>
      <c r="J52" s="137"/>
      <c r="K52" s="251"/>
      <c r="L52" s="137"/>
      <c r="M52" s="137"/>
      <c r="N52" s="137"/>
      <c r="O52" s="137"/>
      <c r="P52" s="137"/>
      <c r="Q52" s="137"/>
      <c r="R52" s="137"/>
      <c r="S52" s="137"/>
      <c r="T52" s="137"/>
      <c r="V52" s="258"/>
      <c r="AI52" s="258"/>
    </row>
    <row r="53" spans="1:35" s="257" customFormat="1" ht="15" x14ac:dyDescent="0.2">
      <c r="A53" s="264"/>
      <c r="B53" s="260"/>
      <c r="C53" s="261"/>
      <c r="D53" s="260"/>
      <c r="E53" s="261"/>
      <c r="F53" s="260"/>
      <c r="G53" s="261"/>
      <c r="H53" s="137"/>
      <c r="I53" s="137"/>
      <c r="J53" s="137"/>
      <c r="K53" s="251"/>
      <c r="L53" s="137"/>
      <c r="M53" s="137"/>
      <c r="N53" s="137"/>
      <c r="O53" s="137"/>
      <c r="P53" s="137"/>
      <c r="Q53" s="137"/>
      <c r="R53" s="137"/>
      <c r="S53" s="137"/>
      <c r="T53" s="137"/>
      <c r="V53" s="258"/>
      <c r="AI53" s="258"/>
    </row>
    <row r="54" spans="1:35" s="257" customFormat="1" ht="15" x14ac:dyDescent="0.2">
      <c r="A54" s="264"/>
      <c r="B54" s="260"/>
      <c r="C54" s="261"/>
      <c r="D54" s="260"/>
      <c r="E54" s="261"/>
      <c r="F54" s="260"/>
      <c r="G54" s="261"/>
      <c r="H54" s="137"/>
      <c r="I54" s="137"/>
      <c r="J54" s="137"/>
      <c r="K54" s="251"/>
      <c r="L54" s="137"/>
      <c r="M54" s="137"/>
      <c r="N54" s="137"/>
      <c r="O54" s="137"/>
      <c r="P54" s="137"/>
      <c r="Q54" s="137"/>
      <c r="R54" s="137"/>
      <c r="S54" s="137"/>
      <c r="T54" s="137"/>
      <c r="V54" s="258"/>
      <c r="AI54" s="258"/>
    </row>
    <row r="55" spans="1:35" ht="15" x14ac:dyDescent="0.2">
      <c r="A55" s="248"/>
      <c r="B55" s="260"/>
      <c r="C55" s="261"/>
      <c r="D55" s="260"/>
      <c r="E55" s="261"/>
      <c r="F55" s="260"/>
      <c r="G55" s="261"/>
      <c r="H55" s="257"/>
      <c r="I55" s="257"/>
      <c r="J55" s="257"/>
      <c r="K55" s="258"/>
      <c r="L55" s="257"/>
      <c r="M55" s="257"/>
      <c r="N55" s="257"/>
      <c r="O55" s="257"/>
      <c r="P55" s="257"/>
      <c r="Q55" s="257"/>
      <c r="R55" s="257"/>
      <c r="S55" s="257"/>
      <c r="T55" s="257"/>
    </row>
    <row r="56" spans="1:35" ht="15" x14ac:dyDescent="0.2">
      <c r="A56" s="135"/>
      <c r="B56" s="135"/>
      <c r="D56" s="135"/>
      <c r="F56" s="135"/>
      <c r="H56" s="257"/>
      <c r="I56" s="257"/>
      <c r="J56" s="257"/>
      <c r="K56" s="258"/>
      <c r="L56" s="257"/>
      <c r="M56" s="257"/>
      <c r="N56" s="257"/>
      <c r="O56" s="257"/>
      <c r="P56" s="257"/>
      <c r="Q56" s="257"/>
      <c r="R56" s="257"/>
      <c r="S56" s="257"/>
      <c r="T56" s="257"/>
    </row>
    <row r="57" spans="1:35" ht="15" x14ac:dyDescent="0.2">
      <c r="A57" s="135"/>
      <c r="B57" s="260"/>
      <c r="C57" s="261"/>
      <c r="D57" s="260"/>
      <c r="E57" s="261"/>
      <c r="F57" s="260"/>
      <c r="G57" s="261"/>
      <c r="H57" s="257"/>
      <c r="I57" s="257"/>
      <c r="J57" s="257"/>
      <c r="K57" s="258"/>
      <c r="L57" s="257"/>
      <c r="M57" s="257"/>
      <c r="N57" s="257"/>
      <c r="O57" s="257"/>
      <c r="P57" s="257"/>
      <c r="Q57" s="257"/>
      <c r="R57" s="257"/>
      <c r="S57" s="257"/>
      <c r="T57" s="257"/>
    </row>
    <row r="58" spans="1:35" ht="15" x14ac:dyDescent="0.2">
      <c r="A58" s="135"/>
      <c r="B58" s="263"/>
      <c r="C58" s="265"/>
      <c r="D58" s="263"/>
      <c r="E58" s="265"/>
      <c r="F58" s="263"/>
      <c r="G58" s="265"/>
      <c r="H58" s="257"/>
      <c r="I58" s="257"/>
      <c r="J58" s="257"/>
      <c r="K58" s="258"/>
      <c r="L58" s="257"/>
      <c r="M58" s="257"/>
      <c r="N58" s="257"/>
      <c r="O58" s="257"/>
      <c r="P58" s="257"/>
      <c r="Q58" s="257"/>
      <c r="R58" s="257"/>
      <c r="S58" s="257"/>
      <c r="T58" s="257"/>
    </row>
    <row r="59" spans="1:35" ht="15" x14ac:dyDescent="0.2">
      <c r="A59" s="135"/>
      <c r="B59" s="135"/>
      <c r="C59" s="135"/>
      <c r="D59" s="135"/>
      <c r="E59" s="135"/>
      <c r="F59" s="135"/>
      <c r="G59" s="135"/>
      <c r="H59" s="257"/>
      <c r="I59" s="257"/>
      <c r="J59" s="257"/>
      <c r="K59" s="258"/>
      <c r="L59" s="257"/>
      <c r="M59" s="257"/>
      <c r="N59" s="257"/>
      <c r="O59" s="257"/>
      <c r="P59" s="257"/>
      <c r="Q59" s="257"/>
      <c r="R59" s="257"/>
      <c r="S59" s="257"/>
      <c r="T59" s="257"/>
    </row>
    <row r="60" spans="1:35" ht="15" x14ac:dyDescent="0.2">
      <c r="A60" s="135"/>
      <c r="B60" s="260"/>
      <c r="C60" s="265"/>
      <c r="D60" s="260"/>
      <c r="E60" s="265"/>
      <c r="F60" s="260"/>
      <c r="G60" s="265"/>
      <c r="H60" s="257"/>
      <c r="I60" s="257"/>
      <c r="J60" s="257"/>
      <c r="K60" s="258"/>
      <c r="L60" s="257"/>
      <c r="M60" s="257"/>
      <c r="N60" s="257"/>
      <c r="O60" s="257"/>
      <c r="P60" s="257"/>
      <c r="Q60" s="257"/>
      <c r="R60" s="257"/>
      <c r="S60" s="257"/>
      <c r="T60" s="257"/>
    </row>
    <row r="61" spans="1:35" ht="15" x14ac:dyDescent="0.2">
      <c r="A61" s="135"/>
      <c r="B61" s="266"/>
      <c r="C61" s="266"/>
      <c r="D61" s="266"/>
      <c r="E61" s="266"/>
      <c r="F61" s="266"/>
      <c r="G61" s="266"/>
      <c r="H61" s="257"/>
      <c r="I61" s="257"/>
      <c r="J61" s="257"/>
      <c r="K61" s="258"/>
      <c r="L61" s="257"/>
      <c r="M61" s="257"/>
      <c r="N61" s="257"/>
      <c r="O61" s="257"/>
      <c r="P61" s="257"/>
      <c r="Q61" s="257"/>
      <c r="R61" s="257"/>
      <c r="S61" s="257"/>
      <c r="T61" s="257"/>
      <c r="V61" s="137"/>
      <c r="AI61" s="137"/>
    </row>
    <row r="62" spans="1:35" ht="15" x14ac:dyDescent="0.2">
      <c r="A62" s="135"/>
      <c r="B62" s="135"/>
      <c r="D62" s="135"/>
      <c r="F62" s="135"/>
      <c r="H62" s="257"/>
      <c r="I62" s="257"/>
      <c r="J62" s="257"/>
      <c r="K62" s="258"/>
      <c r="L62" s="257"/>
      <c r="M62" s="257"/>
      <c r="N62" s="257"/>
      <c r="O62" s="257"/>
      <c r="P62" s="257"/>
      <c r="Q62" s="257"/>
      <c r="R62" s="257"/>
      <c r="S62" s="257"/>
      <c r="T62" s="257"/>
      <c r="V62" s="137"/>
      <c r="AI62" s="137"/>
    </row>
    <row r="63" spans="1:35" ht="15" x14ac:dyDescent="0.2">
      <c r="A63" s="135"/>
      <c r="B63" s="135"/>
      <c r="C63" s="261"/>
      <c r="D63" s="135"/>
      <c r="E63" s="261"/>
      <c r="F63" s="135"/>
      <c r="G63" s="261"/>
      <c r="H63" s="257"/>
      <c r="I63" s="257"/>
      <c r="J63" s="257"/>
      <c r="K63" s="258"/>
      <c r="L63" s="257"/>
      <c r="M63" s="257"/>
      <c r="N63" s="257"/>
      <c r="O63" s="257"/>
      <c r="P63" s="257"/>
      <c r="Q63" s="257"/>
      <c r="R63" s="257"/>
      <c r="S63" s="257"/>
      <c r="T63" s="257"/>
      <c r="V63" s="137"/>
      <c r="AI63" s="137"/>
    </row>
    <row r="64" spans="1:35" ht="15" x14ac:dyDescent="0.2">
      <c r="A64" s="248"/>
      <c r="B64" s="135"/>
      <c r="C64" s="135"/>
      <c r="D64" s="135"/>
      <c r="E64" s="135"/>
      <c r="F64" s="135"/>
      <c r="G64" s="135"/>
      <c r="H64" s="257"/>
      <c r="I64" s="257"/>
      <c r="J64" s="257"/>
      <c r="K64" s="258"/>
      <c r="L64" s="257"/>
      <c r="M64" s="257"/>
      <c r="N64" s="257"/>
      <c r="O64" s="257"/>
      <c r="P64" s="257"/>
      <c r="Q64" s="257"/>
      <c r="R64" s="257"/>
      <c r="S64" s="257"/>
      <c r="T64" s="257"/>
      <c r="V64" s="137"/>
      <c r="AI64" s="137"/>
    </row>
    <row r="65" spans="1:35" ht="15" x14ac:dyDescent="0.2">
      <c r="A65" s="135"/>
      <c r="B65" s="260"/>
      <c r="C65" s="261"/>
      <c r="D65" s="260"/>
      <c r="E65" s="261"/>
      <c r="F65" s="260"/>
      <c r="G65" s="261"/>
      <c r="H65" s="257"/>
      <c r="I65" s="257"/>
      <c r="J65" s="257"/>
      <c r="K65" s="258"/>
      <c r="L65" s="257"/>
      <c r="M65" s="257"/>
      <c r="N65" s="257"/>
      <c r="O65" s="257"/>
      <c r="P65" s="257"/>
      <c r="Q65" s="257"/>
      <c r="R65" s="257"/>
      <c r="S65" s="257"/>
      <c r="T65" s="257"/>
      <c r="V65" s="137"/>
      <c r="AI65" s="137"/>
    </row>
    <row r="66" spans="1:35" ht="15" x14ac:dyDescent="0.2">
      <c r="A66" s="135"/>
      <c r="B66" s="260"/>
      <c r="C66" s="261"/>
      <c r="D66" s="260"/>
      <c r="E66" s="261"/>
      <c r="F66" s="260"/>
      <c r="G66" s="261"/>
      <c r="H66" s="257"/>
      <c r="I66" s="257"/>
      <c r="J66" s="257"/>
      <c r="K66" s="258"/>
      <c r="L66" s="257"/>
      <c r="M66" s="257"/>
      <c r="N66" s="257"/>
      <c r="O66" s="257"/>
      <c r="P66" s="257"/>
      <c r="Q66" s="257"/>
      <c r="R66" s="257"/>
      <c r="S66" s="257"/>
      <c r="T66" s="257"/>
      <c r="V66" s="137"/>
      <c r="AI66" s="137"/>
    </row>
  </sheetData>
  <dataConsolidate/>
  <phoneticPr fontId="2" type="noConversion"/>
  <pageMargins left="0.74803149606299213" right="0.74803149606299213" top="0.98425196850393704" bottom="0.98425196850393704" header="0.51181102362204722" footer="0.51181102362204722"/>
  <pageSetup paperSize="9" orientation="landscape"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1"/>
  <sheetViews>
    <sheetView showGridLines="0" zoomScale="85" workbookViewId="0">
      <selection activeCell="M24" sqref="M24"/>
    </sheetView>
  </sheetViews>
  <sheetFormatPr defaultRowHeight="12.75" x14ac:dyDescent="0.2"/>
  <cols>
    <col min="1" max="1" width="49" style="9" customWidth="1"/>
    <col min="2" max="3" width="13.42578125" style="9" customWidth="1"/>
    <col min="4" max="4" width="14.28515625" style="9" bestFit="1" customWidth="1"/>
    <col min="5" max="34" width="13.42578125" style="9" customWidth="1"/>
    <col min="35" max="16384" width="9.140625" style="9"/>
  </cols>
  <sheetData>
    <row r="1" spans="1:34" ht="19.5" x14ac:dyDescent="0.2">
      <c r="A1" s="492" t="str">
        <f>'Datu ievade'!B12</f>
        <v>SIA "Dobeles Ūdens"</v>
      </c>
      <c r="B1" s="426"/>
    </row>
    <row r="2" spans="1:34" ht="18" x14ac:dyDescent="0.2">
      <c r="A2" s="489" t="str">
        <f>'Datu ievade'!B13</f>
        <v>"Kanalizācijas tīklu paplašināšana Dobeles aglomerācijā" II kārta</v>
      </c>
      <c r="B2" s="426"/>
    </row>
    <row r="3" spans="1:34" ht="23.25" customHeight="1" x14ac:dyDescent="0.2">
      <c r="A3" s="507" t="s">
        <v>155</v>
      </c>
      <c r="B3" s="507"/>
      <c r="C3" s="427"/>
      <c r="D3" s="427"/>
      <c r="E3" s="427"/>
      <c r="F3" s="427"/>
    </row>
    <row r="5" spans="1:34" s="124" customFormat="1" x14ac:dyDescent="0.2">
      <c r="A5" s="123"/>
      <c r="B5" s="522">
        <f>Aprēķini!B6</f>
        <v>2017</v>
      </c>
      <c r="C5" s="522">
        <f>Aprēķini!C6</f>
        <v>2018</v>
      </c>
      <c r="D5" s="522">
        <f>Aprēķini!D6</f>
        <v>2019</v>
      </c>
      <c r="E5" s="522">
        <f>Aprēķini!E6</f>
        <v>2020</v>
      </c>
      <c r="F5" s="522">
        <f>Aprēķini!F6</f>
        <v>2021</v>
      </c>
      <c r="G5" s="522">
        <f>Aprēķini!G6</f>
        <v>2022</v>
      </c>
      <c r="H5" s="522">
        <f>Aprēķini!H6</f>
        <v>2023</v>
      </c>
      <c r="I5" s="522">
        <f>Aprēķini!I6</f>
        <v>2024</v>
      </c>
      <c r="J5" s="522">
        <f>Aprēķini!J6</f>
        <v>2025</v>
      </c>
      <c r="K5" s="522">
        <f>Aprēķini!K6</f>
        <v>2026</v>
      </c>
      <c r="L5" s="522">
        <f>Aprēķini!L6</f>
        <v>2027</v>
      </c>
      <c r="M5" s="522">
        <f>Aprēķini!M6</f>
        <v>2028</v>
      </c>
      <c r="N5" s="522">
        <f>Aprēķini!N6</f>
        <v>2029</v>
      </c>
      <c r="O5" s="522">
        <f>Aprēķini!O6</f>
        <v>2030</v>
      </c>
      <c r="P5" s="522">
        <f>Aprēķini!P6</f>
        <v>2031</v>
      </c>
      <c r="Q5" s="522">
        <f>Aprēķini!Q6</f>
        <v>2032</v>
      </c>
      <c r="R5" s="522">
        <f>Aprēķini!R6</f>
        <v>2033</v>
      </c>
      <c r="S5" s="522">
        <f>Aprēķini!S6</f>
        <v>2034</v>
      </c>
      <c r="T5" s="522">
        <f>Aprēķini!T6</f>
        <v>2035</v>
      </c>
      <c r="U5" s="522">
        <f>Aprēķini!U6</f>
        <v>2036</v>
      </c>
      <c r="V5" s="522">
        <f>Aprēķini!V6</f>
        <v>2037</v>
      </c>
      <c r="W5" s="522">
        <f>Aprēķini!W6</f>
        <v>2038</v>
      </c>
      <c r="X5" s="522">
        <f>Aprēķini!X6</f>
        <v>2039</v>
      </c>
      <c r="Y5" s="522">
        <f>Aprēķini!Y6</f>
        <v>2040</v>
      </c>
      <c r="Z5" s="522">
        <f>Aprēķini!Z6</f>
        <v>2041</v>
      </c>
      <c r="AA5" s="522">
        <f>Aprēķini!AA6</f>
        <v>2042</v>
      </c>
      <c r="AB5" s="522">
        <f>Aprēķini!AB6</f>
        <v>2043</v>
      </c>
      <c r="AC5" s="522">
        <f>Aprēķini!AC6</f>
        <v>2044</v>
      </c>
      <c r="AD5" s="522">
        <f>Aprēķini!AD6</f>
        <v>2045</v>
      </c>
      <c r="AE5" s="522">
        <f>Aprēķini!AE6</f>
        <v>2046</v>
      </c>
      <c r="AF5" s="522">
        <f>Aprēķini!AF6</f>
        <v>2047</v>
      </c>
      <c r="AG5" s="522">
        <f>Aprēķini!AG6</f>
        <v>2048</v>
      </c>
      <c r="AH5" s="522">
        <f>Aprēķini!AH6</f>
        <v>2049</v>
      </c>
    </row>
    <row r="6" spans="1:34" s="125" customFormat="1" x14ac:dyDescent="0.2">
      <c r="A6" s="632" t="s">
        <v>156</v>
      </c>
      <c r="B6" s="633"/>
      <c r="C6" s="633"/>
      <c r="D6" s="633"/>
      <c r="E6" s="633"/>
      <c r="F6" s="633"/>
      <c r="G6" s="633"/>
      <c r="H6" s="633"/>
      <c r="I6" s="633"/>
      <c r="J6" s="633"/>
      <c r="K6" s="633"/>
      <c r="L6" s="633"/>
      <c r="M6" s="633"/>
      <c r="N6" s="633"/>
      <c r="O6" s="633"/>
      <c r="P6" s="633"/>
      <c r="Q6" s="633"/>
      <c r="R6" s="633"/>
      <c r="S6" s="633"/>
      <c r="T6" s="633"/>
      <c r="U6" s="633"/>
      <c r="V6" s="633"/>
      <c r="W6" s="633"/>
      <c r="X6" s="633"/>
      <c r="Y6" s="633"/>
      <c r="Z6" s="633"/>
      <c r="AA6" s="633"/>
      <c r="AB6" s="633"/>
      <c r="AC6" s="633"/>
      <c r="AD6" s="633"/>
      <c r="AE6" s="633"/>
      <c r="AF6" s="633"/>
      <c r="AG6" s="633"/>
      <c r="AH6" s="633"/>
    </row>
    <row r="7" spans="1:34" s="126" customFormat="1" x14ac:dyDescent="0.2">
      <c r="A7" s="579" t="s">
        <v>157</v>
      </c>
      <c r="B7" s="580">
        <v>0</v>
      </c>
      <c r="C7" s="580">
        <v>0</v>
      </c>
      <c r="D7" s="580">
        <v>0</v>
      </c>
      <c r="E7" s="580">
        <f>('Datu ievade'!D115*'Saimnieciskas pamatdarbibas NP'!E129*'Datu ievade'!D109/1000)*365</f>
        <v>3429.7771808358034</v>
      </c>
      <c r="F7" s="580">
        <f>(('Datu ievade'!$D$115+'Datu ievade'!$E$115)*'Saimnieciskas pamatdarbibas NP'!F129*'Datu ievade'!E109/1000)*365</f>
        <v>6942.36588314048</v>
      </c>
      <c r="G7" s="580">
        <f>(('Datu ievade'!$D$115+'Datu ievade'!$E$115+'Datu ievade'!$F$115)*'Saimnieciskas pamatdarbibas NP'!G129*'Datu ievade'!F109/1000)*365</f>
        <v>10537.766106914029</v>
      </c>
      <c r="H7" s="580">
        <f>(('Datu ievade'!$D$115+'Datu ievade'!$E$115+'Datu ievade'!$F$115+'Datu ievade'!$G$115)*'Saimnieciskas pamatdarbibas NP'!H129*'Datu ievade'!G109/1000)*365</f>
        <v>10682.686269484557</v>
      </c>
      <c r="I7" s="580">
        <f>(('Datu ievade'!$D$115+'Datu ievade'!$E$115+'Datu ievade'!$F$115+'Datu ievade'!$G$115+'Datu ievade'!$H$115)*'Saimnieciskas pamatdarbibas NP'!I129*'Datu ievade'!$H$109/1000)*365</f>
        <v>10817.254991871472</v>
      </c>
      <c r="J7" s="580">
        <f>(('Datu ievade'!$D$115+'Datu ievade'!$E$115+'Datu ievade'!$F$115+'Datu ievade'!$G$115+'Datu ievade'!$H$115)*'Saimnieciskas pamatdarbibas NP'!J129*'Datu ievade'!$H$109/1000)*365</f>
        <v>10962.175154441999</v>
      </c>
      <c r="K7" s="580">
        <f>(('Datu ievade'!$D$115+'Datu ievade'!$E$115+'Datu ievade'!$F$115+'Datu ievade'!$G$115+'Datu ievade'!$H$115)*'Saimnieciskas pamatdarbibas NP'!K129*'Datu ievade'!$H$109/1000)*365</f>
        <v>11107.095317012527</v>
      </c>
      <c r="L7" s="580">
        <f>(('Datu ievade'!$D$115+'Datu ievade'!$E$115+'Datu ievade'!$F$115+'Datu ievade'!$G$115+'Datu ievade'!$H$115)*'Saimnieciskas pamatdarbibas NP'!L129*'Datu ievade'!$H$109/1000)*365</f>
        <v>11293.42124031749</v>
      </c>
      <c r="M7" s="580">
        <f>(('Datu ievade'!$D$115+'Datu ievade'!$E$115+'Datu ievade'!$F$115+'Datu ievade'!$G$115+'Datu ievade'!$H$115)*'Saimnieciskas pamatdarbibas NP'!M129*'Datu ievade'!$H$109/1000)*365</f>
        <v>11469.395723438845</v>
      </c>
      <c r="N7" s="580">
        <f>(('Datu ievade'!$D$115+'Datu ievade'!$E$115+'Datu ievade'!$F$115+'Datu ievade'!$G$115+'Datu ievade'!$H$115)*'Saimnieciskas pamatdarbibas NP'!N129*'Datu ievade'!$H$109/1000)*365</f>
        <v>11479.747163622453</v>
      </c>
      <c r="O7" s="580">
        <f>(('Datu ievade'!$D$115+'Datu ievade'!$E$115+'Datu ievade'!$F$115+'Datu ievade'!$G$115+'Datu ievade'!$H$115)*'Saimnieciskas pamatdarbibas NP'!O129*'Datu ievade'!$H$109/1000)*365</f>
        <v>11500.450043989673</v>
      </c>
      <c r="P7" s="580">
        <f>(('Datu ievade'!$D$115+'Datu ievade'!$E$115+'Datu ievade'!$F$115+'Datu ievade'!$G$115+'Datu ievade'!$H$115)*'Saimnieciskas pamatdarbibas NP'!P129*'Datu ievade'!$H$109/1000)*365</f>
        <v>11707.478847661856</v>
      </c>
      <c r="Q7" s="580">
        <f>(('Datu ievade'!$D$115+'Datu ievade'!$E$115+'Datu ievade'!$F$115+'Datu ievade'!$G$115+'Datu ievade'!$H$115)*'Saimnieciskas pamatdarbibas NP'!Q129*'Datu ievade'!$H$109/1000)*365</f>
        <v>11810.993249497944</v>
      </c>
      <c r="R7" s="580">
        <f>(('Datu ievade'!$D$115+'Datu ievade'!$E$115+'Datu ievade'!$F$115+'Datu ievade'!$G$115+'Datu ievade'!$H$115)*'Saimnieciskas pamatdarbibas NP'!R129*'Datu ievade'!$H$109/1000)*365</f>
        <v>11676.424527111023</v>
      </c>
      <c r="S7" s="580">
        <f>(('Datu ievade'!$D$115+'Datu ievade'!$E$115+'Datu ievade'!$F$115+'Datu ievade'!$G$115+'Datu ievade'!$H$115)*'Saimnieciskas pamatdarbibas NP'!S129*'Datu ievade'!$H$109/1000)*365</f>
        <v>12018.022053170123</v>
      </c>
      <c r="T7" s="580">
        <f>(('Datu ievade'!$D$115+'Datu ievade'!$E$115+'Datu ievade'!$F$115+'Datu ievade'!$G$115+'Datu ievade'!$H$115)*'Saimnieciskas pamatdarbibas NP'!T129*'Datu ievade'!$H$109/1000)*365</f>
        <v>12100.833574638997</v>
      </c>
      <c r="U7" s="580">
        <f>(('Datu ievade'!$D$115+'Datu ievade'!$E$115+'Datu ievade'!$F$115+'Datu ievade'!$G$115+'Datu ievade'!$H$115)*'Saimnieciskas pamatdarbibas NP'!U129*'Datu ievade'!$H$109/1000)*365</f>
        <v>12307.862378311178</v>
      </c>
      <c r="V7" s="580">
        <f>(('Datu ievade'!$D$115+'Datu ievade'!$E$115+'Datu ievade'!$F$115+'Datu ievade'!$G$115+'Datu ievade'!$H$115)*'Saimnieciskas pamatdarbibas NP'!V129*'Datu ievade'!$H$109/1000)*365</f>
        <v>12525.242622166968</v>
      </c>
      <c r="W7" s="580">
        <f>(('Datu ievade'!$D$115+'Datu ievade'!$E$115+'Datu ievade'!$F$115+'Datu ievade'!$G$115+'Datu ievade'!$H$115)*'Saimnieciskas pamatdarbibas NP'!W129*'Datu ievade'!$H$109/1000)*365</f>
        <v>12742.622866022763</v>
      </c>
      <c r="X7" s="580">
        <f>(('Datu ievade'!$D$115+'Datu ievade'!$E$115+'Datu ievade'!$F$115+'Datu ievade'!$G$115+'Datu ievade'!$H$115)*'Saimnieciskas pamatdarbibas NP'!X129*'Datu ievade'!$H$109/1000)*365</f>
        <v>12949.65166969494</v>
      </c>
      <c r="Y7" s="580">
        <f>(('Datu ievade'!$D$115+'Datu ievade'!$E$115+'Datu ievade'!$F$115+'Datu ievade'!$G$115+'Datu ievade'!$H$115)*'Saimnieciskas pamatdarbibas NP'!Y129*'Datu ievade'!$H$109/1000)*365</f>
        <v>13167.031913550732</v>
      </c>
      <c r="Z7" s="580">
        <f>(('Datu ievade'!$D$115+'Datu ievade'!$E$115+'Datu ievade'!$F$115+'Datu ievade'!$G$115+'Datu ievade'!$H$115)*'Saimnieciskas pamatdarbibas NP'!Z129*'Datu ievade'!$H$109/1000)*365</f>
        <v>13374.060717222912</v>
      </c>
      <c r="AA7" s="580">
        <f>(('Datu ievade'!$D$115+'Datu ievade'!$E$115+'Datu ievade'!$F$115+'Datu ievade'!$G$115+'Datu ievade'!$H$115)*'Saimnieciskas pamatdarbibas NP'!AA129*'Datu ievade'!$H$109/1000)*365</f>
        <v>13591.440961078704</v>
      </c>
      <c r="AB7" s="580">
        <f>(('Datu ievade'!$D$115+'Datu ievade'!$E$115+'Datu ievade'!$F$115+'Datu ievade'!$G$115+'Datu ievade'!$H$115)*'Saimnieciskas pamatdarbibas NP'!AB129*'Datu ievade'!$H$109/1000)*365</f>
        <v>13839.87552548532</v>
      </c>
      <c r="AC7" s="580">
        <f>(('Datu ievade'!$D$115+'Datu ievade'!$E$115+'Datu ievade'!$F$115+'Datu ievade'!$G$115+'Datu ievade'!$H$115)*'Saimnieciskas pamatdarbibas NP'!AC129*'Datu ievade'!$H$109/1000)*365</f>
        <v>14098.661530075551</v>
      </c>
      <c r="AD7" s="580">
        <f>(('Datu ievade'!$D$115+'Datu ievade'!$E$115+'Datu ievade'!$F$115+'Datu ievade'!$G$115+'Datu ievade'!$H$115)*'Saimnieciskas pamatdarbibas NP'!AD129*'Datu ievade'!$H$109/1000)*365</f>
        <v>15019.939706416755</v>
      </c>
      <c r="AE7" s="580">
        <f>(('Datu ievade'!$D$115+'Datu ievade'!$E$115+'Datu ievade'!$F$115+'Datu ievade'!$G$115+'Datu ievade'!$H$115)*'Saimnieciskas pamatdarbibas NP'!AE129*'Datu ievade'!$H$109/1000)*365</f>
        <v>15278.72571100698</v>
      </c>
      <c r="AF7" s="580">
        <f>(('Datu ievade'!$D$115+'Datu ievade'!$E$115+'Datu ievade'!$F$115+'Datu ievade'!$G$115+'Datu ievade'!$H$115)*'Saimnieciskas pamatdarbibas NP'!AF129*'Datu ievade'!$H$109/1000)*365</f>
        <v>15289.077151190593</v>
      </c>
      <c r="AG7" s="580">
        <f>(('Datu ievade'!$D$115+'Datu ievade'!$E$115+'Datu ievade'!$F$115+'Datu ievade'!$G$115+'Datu ievade'!$H$115)*'Saimnieciskas pamatdarbibas NP'!AG129*'Datu ievade'!$H$109/1000)*365</f>
        <v>15578.917476331642</v>
      </c>
      <c r="AH7" s="580">
        <f>(('Datu ievade'!$D$115+'Datu ievade'!$E$115+'Datu ievade'!$F$115+'Datu ievade'!$G$115+'Datu ievade'!$H$115)*'Saimnieciskas pamatdarbibas NP'!AH129*'Datu ievade'!$H$109/1000)*365</f>
        <v>15868.757801472695</v>
      </c>
    </row>
    <row r="8" spans="1:34" s="127" customFormat="1" x14ac:dyDescent="0.2">
      <c r="A8" s="579" t="s">
        <v>158</v>
      </c>
      <c r="B8" s="580">
        <v>0</v>
      </c>
      <c r="C8" s="667">
        <v>0</v>
      </c>
      <c r="D8" s="580">
        <v>0</v>
      </c>
      <c r="E8" s="580">
        <f>46*'Datu ievade'!C206*12*0.04*'Kopējie pieņēmumi'!B12</f>
        <v>8524.4256000000005</v>
      </c>
      <c r="F8" s="580">
        <f>136*'Datu ievade'!C206*12*0.04*'Kopējie pieņēmumi'!C12</f>
        <v>25958.729088</v>
      </c>
      <c r="G8" s="580">
        <f>294*'Datu ievade'!C206*12*0.04*'Kopējie pieņēmumi'!D12</f>
        <v>57751.130304000006</v>
      </c>
      <c r="H8" s="580">
        <f>450*'Datu ievade'!C206*12*0.04*'Kopējie pieņēmumi'!D12</f>
        <v>88394.587199999994</v>
      </c>
      <c r="I8" s="580">
        <f>610*'Datu ievade'!$C$206*12*0.04*'Kopējie pieņēmumi'!F12</f>
        <v>124345.42560000002</v>
      </c>
      <c r="J8" s="580">
        <f>610*'Datu ievade'!$C$206*12*0.04*'Kopējie pieņēmumi'!G12</f>
        <v>126606.25152000002</v>
      </c>
      <c r="K8" s="580">
        <f>610*'Datu ievade'!$C$206*12*0.04*'Kopējie pieņēmumi'!H12</f>
        <v>128867.07743999999</v>
      </c>
      <c r="L8" s="580">
        <f>610*'Datu ievade'!$C$206*12*0.04*'Kopējie pieņēmumi'!I12</f>
        <v>131127.90336</v>
      </c>
      <c r="M8" s="580">
        <f>610*'Datu ievade'!$C$206*12*0.04*'Kopējie pieņēmumi'!J12</f>
        <v>133388.72928</v>
      </c>
      <c r="N8" s="580">
        <f>610*'Datu ievade'!$C$206*12*0.04*'Kopējie pieņēmumi'!K12</f>
        <v>135649.5552</v>
      </c>
      <c r="O8" s="580">
        <f>610*'Datu ievade'!$C$206*12*0.04*'Kopējie pieņēmumi'!L12</f>
        <v>139040.79407999999</v>
      </c>
      <c r="P8" s="580">
        <f>610*'Datu ievade'!$C$206*12*0.04*'Kopējie pieņēmumi'!M12</f>
        <v>142432.03296000001</v>
      </c>
      <c r="Q8" s="580">
        <f>610*'Datu ievade'!$C$206*12*0.04*'Kopējie pieņēmumi'!N12</f>
        <v>145823.27184</v>
      </c>
      <c r="R8" s="580">
        <f>610*'Datu ievade'!$C$206*12*0.04*'Kopējie pieņēmumi'!O12</f>
        <v>149214.51072000002</v>
      </c>
      <c r="S8" s="580">
        <f>610*'Datu ievade'!$C$206*12*0.04*'Kopējie pieņēmumi'!P12</f>
        <v>152605.74960000001</v>
      </c>
      <c r="T8" s="580">
        <f>610*'Datu ievade'!$C$206*12*0.04*'Kopējie pieņēmumi'!Q12</f>
        <v>155996.98848</v>
      </c>
      <c r="U8" s="580">
        <f>610*'Datu ievade'!$C$206*12*0.04*'Kopējie pieņēmumi'!R12</f>
        <v>159388.22735999999</v>
      </c>
      <c r="V8" s="580">
        <f>610*'Datu ievade'!$C$206*12*0.04*'Kopējie pieņēmumi'!S12</f>
        <v>162779.46624000001</v>
      </c>
      <c r="W8" s="580">
        <f>610*'Datu ievade'!$C$206*12*0.04*'Kopējie pieņēmumi'!T12</f>
        <v>166170.70512</v>
      </c>
      <c r="X8" s="580">
        <f>610*'Datu ievade'!$C$206*12*0.04*'Kopējie pieņēmumi'!U12</f>
        <v>169561.94400000002</v>
      </c>
      <c r="Y8" s="580">
        <f>610*'Datu ievade'!$C$206*12*0.04*'Kopējie pieņēmumi'!V12</f>
        <v>172953.18288000001</v>
      </c>
      <c r="Z8" s="580">
        <f>610*'Datu ievade'!$C$206*12*0.04*'Kopējie pieņēmumi'!W12</f>
        <v>176344.42176</v>
      </c>
      <c r="AA8" s="580">
        <f>610*'Datu ievade'!$C$206*12*0.04*'Kopējie pieņēmumi'!X12</f>
        <v>179735.66064000002</v>
      </c>
      <c r="AB8" s="580">
        <f>610*'Datu ievade'!$C$206*12*0.04*'Kopējie pieņēmumi'!Y12</f>
        <v>183126.89952000001</v>
      </c>
      <c r="AC8" s="580">
        <f>610*'Datu ievade'!$C$206*12*0.04*'Kopējie pieņēmumi'!Z12</f>
        <v>186518.1384</v>
      </c>
      <c r="AD8" s="580">
        <f>610*'Datu ievade'!$C$206*12*0.04*'Kopējie pieņēmumi'!AA12</f>
        <v>189909.37727999999</v>
      </c>
      <c r="AE8" s="580">
        <f>610*'Datu ievade'!$C$206*12*0.04*'Kopējie pieņēmumi'!AB12</f>
        <v>194431.02911999999</v>
      </c>
      <c r="AF8" s="580">
        <f>610*'Datu ievade'!$C$206*12*0.04*'Kopējie pieņēmumi'!AC12</f>
        <v>198952.68096</v>
      </c>
      <c r="AG8" s="580">
        <f>610*'Datu ievade'!$C$206*12*0.04*'Kopējie pieņēmumi'!AD12</f>
        <v>203474.3328</v>
      </c>
      <c r="AH8" s="580">
        <f>610*'Datu ievade'!$C$206*12*0.04*'Kopējie pieņēmumi'!AE12</f>
        <v>207995.98464000001</v>
      </c>
    </row>
    <row r="9" spans="1:34" s="127" customFormat="1" ht="25.5" x14ac:dyDescent="0.2">
      <c r="A9" s="581" t="s">
        <v>159</v>
      </c>
      <c r="B9" s="580">
        <v>0</v>
      </c>
      <c r="C9" s="580">
        <f>15*700*5</f>
        <v>52500</v>
      </c>
      <c r="D9" s="580">
        <f>15*700*5</f>
        <v>52500</v>
      </c>
      <c r="E9" s="580">
        <v>0</v>
      </c>
      <c r="F9" s="580">
        <v>0</v>
      </c>
      <c r="G9" s="580">
        <v>0</v>
      </c>
      <c r="H9" s="580">
        <v>0</v>
      </c>
      <c r="I9" s="580">
        <v>0</v>
      </c>
      <c r="J9" s="580">
        <v>0</v>
      </c>
      <c r="K9" s="580">
        <v>0</v>
      </c>
      <c r="L9" s="580">
        <v>0</v>
      </c>
      <c r="M9" s="580">
        <v>0</v>
      </c>
      <c r="N9" s="580">
        <v>0</v>
      </c>
      <c r="O9" s="580">
        <v>0</v>
      </c>
      <c r="P9" s="580">
        <v>0</v>
      </c>
      <c r="Q9" s="580">
        <v>0</v>
      </c>
      <c r="R9" s="580">
        <v>0</v>
      </c>
      <c r="S9" s="580">
        <v>0</v>
      </c>
      <c r="T9" s="580">
        <v>0</v>
      </c>
      <c r="U9" s="580">
        <v>0</v>
      </c>
      <c r="V9" s="580">
        <v>0</v>
      </c>
      <c r="W9" s="580">
        <v>0</v>
      </c>
      <c r="X9" s="580">
        <v>0</v>
      </c>
      <c r="Y9" s="580">
        <v>0</v>
      </c>
      <c r="Z9" s="580">
        <v>0</v>
      </c>
      <c r="AA9" s="580">
        <v>0</v>
      </c>
      <c r="AB9" s="580">
        <v>0</v>
      </c>
      <c r="AC9" s="580">
        <v>0</v>
      </c>
      <c r="AD9" s="580">
        <v>0</v>
      </c>
      <c r="AE9" s="580">
        <v>0</v>
      </c>
      <c r="AF9" s="580">
        <v>0</v>
      </c>
      <c r="AG9" s="580">
        <v>0</v>
      </c>
      <c r="AH9" s="580">
        <v>0</v>
      </c>
    </row>
    <row r="10" spans="1:34" s="124" customFormat="1" x14ac:dyDescent="0.2">
      <c r="A10" s="128" t="s">
        <v>160</v>
      </c>
      <c r="B10" s="129">
        <f t="shared" ref="B10:AH10" si="0">SUM(B7:B9)</f>
        <v>0</v>
      </c>
      <c r="C10" s="129">
        <f t="shared" si="0"/>
        <v>52500</v>
      </c>
      <c r="D10" s="129">
        <f t="shared" si="0"/>
        <v>52500</v>
      </c>
      <c r="E10" s="129">
        <f t="shared" si="0"/>
        <v>11954.202780835803</v>
      </c>
      <c r="F10" s="129">
        <f t="shared" si="0"/>
        <v>32901.094971140483</v>
      </c>
      <c r="G10" s="129">
        <f t="shared" si="0"/>
        <v>68288.896410914036</v>
      </c>
      <c r="H10" s="129">
        <f t="shared" si="0"/>
        <v>99077.273469484557</v>
      </c>
      <c r="I10" s="129">
        <f t="shared" si="0"/>
        <v>135162.6805918715</v>
      </c>
      <c r="J10" s="129">
        <f t="shared" si="0"/>
        <v>137568.42667444202</v>
      </c>
      <c r="K10" s="129">
        <f t="shared" si="0"/>
        <v>139974.17275701251</v>
      </c>
      <c r="L10" s="129">
        <f t="shared" si="0"/>
        <v>142421.32460031749</v>
      </c>
      <c r="M10" s="129">
        <f t="shared" si="0"/>
        <v>144858.12500343885</v>
      </c>
      <c r="N10" s="129">
        <f t="shared" si="0"/>
        <v>147129.30236362247</v>
      </c>
      <c r="O10" s="129">
        <f t="shared" si="0"/>
        <v>150541.24412398966</v>
      </c>
      <c r="P10" s="129">
        <f t="shared" si="0"/>
        <v>154139.51180766185</v>
      </c>
      <c r="Q10" s="129">
        <f t="shared" si="0"/>
        <v>157634.26508949796</v>
      </c>
      <c r="R10" s="129">
        <f t="shared" si="0"/>
        <v>160890.93524711105</v>
      </c>
      <c r="S10" s="129">
        <f t="shared" si="0"/>
        <v>164623.77165317014</v>
      </c>
      <c r="T10" s="129">
        <f t="shared" si="0"/>
        <v>168097.82205463899</v>
      </c>
      <c r="U10" s="129">
        <f t="shared" si="0"/>
        <v>171696.08973831116</v>
      </c>
      <c r="V10" s="129">
        <f t="shared" si="0"/>
        <v>175304.70886216697</v>
      </c>
      <c r="W10" s="129">
        <f t="shared" si="0"/>
        <v>178913.32798602275</v>
      </c>
      <c r="X10" s="129">
        <f t="shared" si="0"/>
        <v>182511.59566969494</v>
      </c>
      <c r="Y10" s="129">
        <f t="shared" si="0"/>
        <v>186120.21479355075</v>
      </c>
      <c r="Z10" s="129">
        <f t="shared" si="0"/>
        <v>189718.48247722292</v>
      </c>
      <c r="AA10" s="129">
        <f t="shared" si="0"/>
        <v>193327.10160107873</v>
      </c>
      <c r="AB10" s="129">
        <f t="shared" si="0"/>
        <v>196966.77504548532</v>
      </c>
      <c r="AC10" s="129">
        <f t="shared" si="0"/>
        <v>200616.79993007553</v>
      </c>
      <c r="AD10" s="129">
        <f t="shared" si="0"/>
        <v>204929.31698641673</v>
      </c>
      <c r="AE10" s="129">
        <f t="shared" si="0"/>
        <v>209709.75483100698</v>
      </c>
      <c r="AF10" s="129">
        <f t="shared" si="0"/>
        <v>214241.7581111906</v>
      </c>
      <c r="AG10" s="129">
        <f t="shared" si="0"/>
        <v>219053.25027633164</v>
      </c>
      <c r="AH10" s="129">
        <f t="shared" si="0"/>
        <v>223864.74244147271</v>
      </c>
    </row>
    <row r="11" spans="1:34" s="125" customFormat="1" x14ac:dyDescent="0.2">
      <c r="A11" s="130" t="s">
        <v>538</v>
      </c>
      <c r="B11" s="661">
        <v>0</v>
      </c>
      <c r="C11" s="661">
        <v>0</v>
      </c>
      <c r="D11" s="661">
        <v>0</v>
      </c>
      <c r="E11" s="661">
        <f>'Saimnieciskas pamatdarbibas NP'!E192</f>
        <v>19247.173944001472</v>
      </c>
      <c r="F11" s="661">
        <f>'Saimnieciskas pamatdarbibas NP'!F192</f>
        <v>19086.548229935772</v>
      </c>
      <c r="G11" s="661">
        <f>'Saimnieciskas pamatdarbibas NP'!G192</f>
        <v>19504.868073486694</v>
      </c>
      <c r="H11" s="661">
        <f>'Saimnieciskas pamatdarbibas NP'!H192</f>
        <v>19428.752803105002</v>
      </c>
      <c r="I11" s="661">
        <f>'Saimnieciskas pamatdarbibas NP'!I192</f>
        <v>19024.380705312749</v>
      </c>
      <c r="J11" s="661">
        <f>'Saimnieciskas pamatdarbibas NP'!J192</f>
        <v>23133.372164607688</v>
      </c>
      <c r="K11" s="661">
        <f>'Saimnieciskas pamatdarbibas NP'!K192</f>
        <v>23425.416171360608</v>
      </c>
      <c r="L11" s="661">
        <f>'Saimnieciskas pamatdarbibas NP'!L192</f>
        <v>23240.103195111871</v>
      </c>
      <c r="M11" s="661">
        <f>'Saimnieciskas pamatdarbibas NP'!M192</f>
        <v>23401.642590862532</v>
      </c>
      <c r="N11" s="661">
        <f>'Saimnieciskas pamatdarbibas NP'!N192</f>
        <v>23214.758254067499</v>
      </c>
      <c r="O11" s="661">
        <f>'Saimnieciskas pamatdarbibas NP'!O192</f>
        <v>18276.612498203049</v>
      </c>
      <c r="P11" s="661">
        <f>'Saimnieciskas pamatdarbibas NP'!P192</f>
        <v>18194.399950333191</v>
      </c>
      <c r="Q11" s="661">
        <f>'Saimnieciskas pamatdarbibas NP'!Q192</f>
        <v>20887.006378460395</v>
      </c>
      <c r="R11" s="661">
        <f>'Saimnieciskas pamatdarbibas NP'!R192</f>
        <v>19249.890941338632</v>
      </c>
      <c r="S11" s="661">
        <f>'Saimnieciskas pamatdarbibas NP'!S192</f>
        <v>23571.910812016918</v>
      </c>
      <c r="T11" s="661">
        <f>'Saimnieciskas pamatdarbibas NP'!T192</f>
        <v>18836.484997054347</v>
      </c>
      <c r="U11" s="661">
        <f>'Saimnieciskas pamatdarbibas NP'!U192</f>
        <v>18977.420077184997</v>
      </c>
      <c r="V11" s="661">
        <f>'Saimnieciskas pamatdarbibas NP'!V192</f>
        <v>18640.750601324151</v>
      </c>
      <c r="W11" s="661">
        <f>'Saimnieciskas pamatdarbibas NP'!W192</f>
        <v>18584.833309455113</v>
      </c>
      <c r="X11" s="661">
        <f>'Saimnieciskas pamatdarbibas NP'!X192</f>
        <v>21302.163633036693</v>
      </c>
      <c r="Y11" s="661">
        <f>'Saimnieciskas pamatdarbibas NP'!Y192</f>
        <v>21246.246341168007</v>
      </c>
      <c r="Z11" s="661">
        <f>'Saimnieciskas pamatdarbibas NP'!Z192</f>
        <v>20841.905316753226</v>
      </c>
      <c r="AA11" s="661">
        <f>'Saimnieciskas pamatdarbibas NP'!AA192</f>
        <v>21132.840396883556</v>
      </c>
      <c r="AB11" s="661">
        <f>'Saimnieciskas pamatdarbibas NP'!AB192</f>
        <v>20944.847133466217</v>
      </c>
      <c r="AC11" s="661">
        <f>'Saimnieciskas pamatdarbibas NP'!AC192</f>
        <v>23326.348023100349</v>
      </c>
      <c r="AD11" s="661">
        <f>'Saimnieciskas pamatdarbibas NP'!AD192</f>
        <v>37979.157355067888</v>
      </c>
      <c r="AE11" s="661">
        <f>'Saimnieciskas pamatdarbibas NP'!AE192</f>
        <v>37863.849684194473</v>
      </c>
      <c r="AF11" s="661">
        <f>'Saimnieciskas pamatdarbibas NP'!AF192</f>
        <v>28707.906406966285</v>
      </c>
      <c r="AG11" s="661">
        <f>'Saimnieciskas pamatdarbibas NP'!AG192</f>
        <v>28612.551536471205</v>
      </c>
      <c r="AH11" s="661">
        <f>'Saimnieciskas pamatdarbibas NP'!AH192</f>
        <v>28517.196665976007</v>
      </c>
    </row>
    <row r="12" spans="1:34" s="125" customFormat="1" x14ac:dyDescent="0.2">
      <c r="A12" s="130" t="s">
        <v>547</v>
      </c>
      <c r="B12" s="661">
        <f>Aprēķini!B124</f>
        <v>0</v>
      </c>
      <c r="C12" s="661">
        <f>Aprēķini!C124</f>
        <v>0</v>
      </c>
      <c r="D12" s="661">
        <f>Aprēķini!D124</f>
        <v>0</v>
      </c>
      <c r="E12" s="661">
        <f>Aprēķini!E124</f>
        <v>0</v>
      </c>
      <c r="F12" s="661">
        <f>Aprēķini!F124</f>
        <v>0</v>
      </c>
      <c r="G12" s="661">
        <f>Aprēķini!G124</f>
        <v>0</v>
      </c>
      <c r="H12" s="661">
        <f>Aprēķini!H124</f>
        <v>0</v>
      </c>
      <c r="I12" s="661">
        <f>Aprēķini!I124</f>
        <v>0</v>
      </c>
      <c r="J12" s="661">
        <f>Aprēķini!J124</f>
        <v>0</v>
      </c>
      <c r="K12" s="661">
        <f>Aprēķini!K124</f>
        <v>0</v>
      </c>
      <c r="L12" s="661">
        <f>Aprēķini!L124</f>
        <v>0</v>
      </c>
      <c r="M12" s="661">
        <f>Aprēķini!M124</f>
        <v>0</v>
      </c>
      <c r="N12" s="661">
        <f>Aprēķini!N124</f>
        <v>0</v>
      </c>
      <c r="O12" s="661">
        <f>Aprēķini!O124</f>
        <v>0</v>
      </c>
      <c r="P12" s="661">
        <f>Aprēķini!P124</f>
        <v>0</v>
      </c>
      <c r="Q12" s="661">
        <f>Aprēķini!Q124</f>
        <v>0</v>
      </c>
      <c r="R12" s="661">
        <f>Aprēķini!R124</f>
        <v>0</v>
      </c>
      <c r="S12" s="661">
        <f>Aprēķini!S124</f>
        <v>0</v>
      </c>
      <c r="T12" s="661">
        <f>Aprēķini!T124</f>
        <v>0</v>
      </c>
      <c r="U12" s="661">
        <f>Aprēķini!U124</f>
        <v>0</v>
      </c>
      <c r="V12" s="661">
        <f>Aprēķini!V124</f>
        <v>0</v>
      </c>
      <c r="W12" s="661">
        <f>Aprēķini!W124</f>
        <v>0</v>
      </c>
      <c r="X12" s="661">
        <f>Aprēķini!X124</f>
        <v>0</v>
      </c>
      <c r="Y12" s="661">
        <f>Aprēķini!Y124</f>
        <v>0</v>
      </c>
      <c r="Z12" s="661">
        <f>Aprēķini!Z124</f>
        <v>0</v>
      </c>
      <c r="AA12" s="661">
        <f>Aprēķini!AA124</f>
        <v>0</v>
      </c>
      <c r="AB12" s="661">
        <f>Aprēķini!AB124</f>
        <v>0</v>
      </c>
      <c r="AC12" s="661">
        <f>Aprēķini!AC124</f>
        <v>0</v>
      </c>
      <c r="AD12" s="661">
        <f>Aprēķini!AD124</f>
        <v>0</v>
      </c>
      <c r="AE12" s="661">
        <f>Aprēķini!AE124</f>
        <v>0</v>
      </c>
      <c r="AF12" s="661">
        <f>Aprēķini!AF124</f>
        <v>0</v>
      </c>
      <c r="AG12" s="661">
        <f>Aprēķini!AG124</f>
        <v>548639</v>
      </c>
      <c r="AH12" s="661">
        <f>Aprēķini!AH124</f>
        <v>0</v>
      </c>
    </row>
    <row r="13" spans="1:34" s="125" customFormat="1" x14ac:dyDescent="0.2">
      <c r="A13" s="131" t="s">
        <v>200</v>
      </c>
      <c r="B13" s="129">
        <f t="shared" ref="B13:AH13" si="1">B11+B10+B12</f>
        <v>0</v>
      </c>
      <c r="C13" s="129">
        <f t="shared" si="1"/>
        <v>52500</v>
      </c>
      <c r="D13" s="129">
        <f t="shared" si="1"/>
        <v>52500</v>
      </c>
      <c r="E13" s="129">
        <f t="shared" si="1"/>
        <v>31201.376724837275</v>
      </c>
      <c r="F13" s="129">
        <f t="shared" si="1"/>
        <v>51987.643201076251</v>
      </c>
      <c r="G13" s="129">
        <f t="shared" si="1"/>
        <v>87793.76448440073</v>
      </c>
      <c r="H13" s="129">
        <f t="shared" si="1"/>
        <v>118506.02627258956</v>
      </c>
      <c r="I13" s="129">
        <f t="shared" si="1"/>
        <v>154187.06129718423</v>
      </c>
      <c r="J13" s="129">
        <f t="shared" si="1"/>
        <v>160701.7988390497</v>
      </c>
      <c r="K13" s="129">
        <f t="shared" si="1"/>
        <v>163399.58892837312</v>
      </c>
      <c r="L13" s="129">
        <f t="shared" si="1"/>
        <v>165661.42779542936</v>
      </c>
      <c r="M13" s="129">
        <f t="shared" si="1"/>
        <v>168259.76759430137</v>
      </c>
      <c r="N13" s="129">
        <f t="shared" si="1"/>
        <v>170344.06061768997</v>
      </c>
      <c r="O13" s="129">
        <f t="shared" si="1"/>
        <v>168817.85662219272</v>
      </c>
      <c r="P13" s="129">
        <f t="shared" si="1"/>
        <v>172333.91175799505</v>
      </c>
      <c r="Q13" s="129">
        <f t="shared" si="1"/>
        <v>178521.27146795834</v>
      </c>
      <c r="R13" s="129">
        <f t="shared" si="1"/>
        <v>180140.82618844969</v>
      </c>
      <c r="S13" s="129">
        <f t="shared" si="1"/>
        <v>188195.68246518707</v>
      </c>
      <c r="T13" s="129">
        <f t="shared" si="1"/>
        <v>186934.30705169335</v>
      </c>
      <c r="U13" s="129">
        <f t="shared" si="1"/>
        <v>190673.50981549616</v>
      </c>
      <c r="V13" s="129">
        <f t="shared" si="1"/>
        <v>193945.4594634911</v>
      </c>
      <c r="W13" s="129">
        <f t="shared" si="1"/>
        <v>197498.16129547785</v>
      </c>
      <c r="X13" s="129">
        <f t="shared" si="1"/>
        <v>203813.75930273163</v>
      </c>
      <c r="Y13" s="129">
        <f t="shared" si="1"/>
        <v>207366.46113471876</v>
      </c>
      <c r="Z13" s="129">
        <f t="shared" si="1"/>
        <v>210560.38779397614</v>
      </c>
      <c r="AA13" s="129">
        <f t="shared" si="1"/>
        <v>214459.94199796228</v>
      </c>
      <c r="AB13" s="129">
        <f t="shared" si="1"/>
        <v>217911.62217895154</v>
      </c>
      <c r="AC13" s="129">
        <f t="shared" si="1"/>
        <v>223943.14795317588</v>
      </c>
      <c r="AD13" s="129">
        <f t="shared" si="1"/>
        <v>242908.4743414846</v>
      </c>
      <c r="AE13" s="129">
        <f t="shared" si="1"/>
        <v>247573.60451520147</v>
      </c>
      <c r="AF13" s="129">
        <f t="shared" si="1"/>
        <v>242949.6645181569</v>
      </c>
      <c r="AG13" s="129">
        <f t="shared" si="1"/>
        <v>796304.80181280291</v>
      </c>
      <c r="AH13" s="129">
        <f t="shared" si="1"/>
        <v>252381.93910744874</v>
      </c>
    </row>
    <row r="14" spans="1:34" s="125" customFormat="1" x14ac:dyDescent="0.2">
      <c r="A14" s="634" t="s">
        <v>161</v>
      </c>
      <c r="B14" s="635"/>
      <c r="C14" s="635"/>
      <c r="D14" s="635"/>
      <c r="E14" s="635"/>
      <c r="F14" s="635"/>
      <c r="G14" s="635"/>
      <c r="H14" s="635"/>
      <c r="I14" s="635"/>
      <c r="J14" s="635"/>
      <c r="K14" s="635"/>
      <c r="L14" s="635"/>
      <c r="M14" s="635"/>
      <c r="N14" s="635"/>
      <c r="O14" s="635"/>
      <c r="P14" s="635"/>
      <c r="Q14" s="635"/>
      <c r="R14" s="635"/>
      <c r="S14" s="635"/>
      <c r="T14" s="635"/>
      <c r="U14" s="635"/>
      <c r="V14" s="635"/>
      <c r="W14" s="635"/>
      <c r="X14" s="635"/>
      <c r="Y14" s="635"/>
      <c r="Z14" s="635"/>
      <c r="AA14" s="635"/>
      <c r="AB14" s="635"/>
      <c r="AC14" s="635"/>
      <c r="AD14" s="635"/>
      <c r="AE14" s="635"/>
      <c r="AF14" s="635"/>
      <c r="AG14" s="635"/>
      <c r="AH14" s="635"/>
    </row>
    <row r="15" spans="1:34" s="127" customFormat="1" ht="25.5" x14ac:dyDescent="0.2">
      <c r="A15" s="578" t="s">
        <v>162</v>
      </c>
      <c r="B15" s="667">
        <v>0</v>
      </c>
      <c r="C15" s="667">
        <v>2500</v>
      </c>
      <c r="D15" s="668">
        <v>2500</v>
      </c>
      <c r="E15" s="668">
        <v>0</v>
      </c>
      <c r="F15" s="667">
        <v>0</v>
      </c>
      <c r="G15" s="667">
        <v>0</v>
      </c>
      <c r="H15" s="667">
        <v>0</v>
      </c>
      <c r="I15" s="667">
        <v>0</v>
      </c>
      <c r="J15" s="667">
        <v>0</v>
      </c>
      <c r="K15" s="667">
        <v>0</v>
      </c>
      <c r="L15" s="667">
        <v>0</v>
      </c>
      <c r="M15" s="667">
        <v>0</v>
      </c>
      <c r="N15" s="667">
        <v>0</v>
      </c>
      <c r="O15" s="667">
        <v>0</v>
      </c>
      <c r="P15" s="667">
        <v>0</v>
      </c>
      <c r="Q15" s="667">
        <v>0</v>
      </c>
      <c r="R15" s="667">
        <v>0</v>
      </c>
      <c r="S15" s="667">
        <v>0</v>
      </c>
      <c r="T15" s="667">
        <v>0</v>
      </c>
      <c r="U15" s="667">
        <v>0</v>
      </c>
      <c r="V15" s="667">
        <v>0</v>
      </c>
      <c r="W15" s="667">
        <v>0</v>
      </c>
      <c r="X15" s="667">
        <v>0</v>
      </c>
      <c r="Y15" s="667">
        <v>0</v>
      </c>
      <c r="Z15" s="667">
        <v>0</v>
      </c>
      <c r="AA15" s="667">
        <v>0</v>
      </c>
      <c r="AB15" s="667">
        <v>0</v>
      </c>
      <c r="AC15" s="667">
        <v>0</v>
      </c>
      <c r="AD15" s="667">
        <v>0</v>
      </c>
      <c r="AE15" s="667">
        <v>0</v>
      </c>
      <c r="AF15" s="667">
        <v>0</v>
      </c>
      <c r="AG15" s="667">
        <v>0</v>
      </c>
      <c r="AH15" s="667">
        <v>0</v>
      </c>
    </row>
    <row r="16" spans="1:34" s="127" customFormat="1" ht="38.25" x14ac:dyDescent="0.2">
      <c r="A16" s="578" t="s">
        <v>212</v>
      </c>
      <c r="B16" s="667">
        <v>0</v>
      </c>
      <c r="C16" s="667">
        <v>29280</v>
      </c>
      <c r="D16" s="668">
        <v>29280</v>
      </c>
      <c r="E16" s="668">
        <v>0</v>
      </c>
      <c r="F16" s="667">
        <v>0</v>
      </c>
      <c r="G16" s="667">
        <v>0</v>
      </c>
      <c r="H16" s="667">
        <v>0</v>
      </c>
      <c r="I16" s="667">
        <v>0</v>
      </c>
      <c r="J16" s="667">
        <v>0</v>
      </c>
      <c r="K16" s="667">
        <v>0</v>
      </c>
      <c r="L16" s="667">
        <v>0</v>
      </c>
      <c r="M16" s="667">
        <v>0</v>
      </c>
      <c r="N16" s="667">
        <v>0</v>
      </c>
      <c r="O16" s="667">
        <v>0</v>
      </c>
      <c r="P16" s="667">
        <v>0</v>
      </c>
      <c r="Q16" s="667">
        <v>0</v>
      </c>
      <c r="R16" s="667">
        <v>0</v>
      </c>
      <c r="S16" s="667">
        <v>0</v>
      </c>
      <c r="T16" s="667">
        <v>0</v>
      </c>
      <c r="U16" s="667">
        <v>0</v>
      </c>
      <c r="V16" s="667">
        <v>0</v>
      </c>
      <c r="W16" s="667">
        <v>0</v>
      </c>
      <c r="X16" s="667">
        <v>0</v>
      </c>
      <c r="Y16" s="667">
        <v>0</v>
      </c>
      <c r="Z16" s="667">
        <v>0</v>
      </c>
      <c r="AA16" s="667">
        <v>0</v>
      </c>
      <c r="AB16" s="667">
        <v>0</v>
      </c>
      <c r="AC16" s="667">
        <v>0</v>
      </c>
      <c r="AD16" s="667">
        <v>0</v>
      </c>
      <c r="AE16" s="667">
        <v>0</v>
      </c>
      <c r="AF16" s="667">
        <v>0</v>
      </c>
      <c r="AG16" s="667">
        <v>0</v>
      </c>
      <c r="AH16" s="667">
        <v>0</v>
      </c>
    </row>
    <row r="17" spans="1:34" s="125" customFormat="1" x14ac:dyDescent="0.2">
      <c r="A17" s="131" t="s">
        <v>163</v>
      </c>
      <c r="B17" s="129">
        <f>B15+B16</f>
        <v>0</v>
      </c>
      <c r="C17" s="129">
        <f t="shared" ref="C17:AH17" si="2">C15+C16</f>
        <v>31780</v>
      </c>
      <c r="D17" s="129">
        <f t="shared" si="2"/>
        <v>31780</v>
      </c>
      <c r="E17" s="129">
        <f t="shared" si="2"/>
        <v>0</v>
      </c>
      <c r="F17" s="129">
        <f t="shared" si="2"/>
        <v>0</v>
      </c>
      <c r="G17" s="129">
        <f t="shared" si="2"/>
        <v>0</v>
      </c>
      <c r="H17" s="129">
        <f t="shared" si="2"/>
        <v>0</v>
      </c>
      <c r="I17" s="129">
        <f t="shared" si="2"/>
        <v>0</v>
      </c>
      <c r="J17" s="129">
        <f t="shared" si="2"/>
        <v>0</v>
      </c>
      <c r="K17" s="129">
        <f t="shared" si="2"/>
        <v>0</v>
      </c>
      <c r="L17" s="129">
        <f t="shared" si="2"/>
        <v>0</v>
      </c>
      <c r="M17" s="129">
        <f t="shared" si="2"/>
        <v>0</v>
      </c>
      <c r="N17" s="129">
        <f t="shared" si="2"/>
        <v>0</v>
      </c>
      <c r="O17" s="129">
        <f t="shared" si="2"/>
        <v>0</v>
      </c>
      <c r="P17" s="129">
        <f t="shared" si="2"/>
        <v>0</v>
      </c>
      <c r="Q17" s="129">
        <f t="shared" si="2"/>
        <v>0</v>
      </c>
      <c r="R17" s="129">
        <f t="shared" si="2"/>
        <v>0</v>
      </c>
      <c r="S17" s="129">
        <f t="shared" si="2"/>
        <v>0</v>
      </c>
      <c r="T17" s="129">
        <f t="shared" si="2"/>
        <v>0</v>
      </c>
      <c r="U17" s="129">
        <f t="shared" si="2"/>
        <v>0</v>
      </c>
      <c r="V17" s="129">
        <f t="shared" si="2"/>
        <v>0</v>
      </c>
      <c r="W17" s="129">
        <f t="shared" si="2"/>
        <v>0</v>
      </c>
      <c r="X17" s="129">
        <f t="shared" si="2"/>
        <v>0</v>
      </c>
      <c r="Y17" s="129">
        <f t="shared" si="2"/>
        <v>0</v>
      </c>
      <c r="Z17" s="129">
        <f t="shared" si="2"/>
        <v>0</v>
      </c>
      <c r="AA17" s="129">
        <f t="shared" si="2"/>
        <v>0</v>
      </c>
      <c r="AB17" s="129">
        <f t="shared" si="2"/>
        <v>0</v>
      </c>
      <c r="AC17" s="129">
        <f t="shared" si="2"/>
        <v>0</v>
      </c>
      <c r="AD17" s="129">
        <f t="shared" si="2"/>
        <v>0</v>
      </c>
      <c r="AE17" s="129">
        <f t="shared" si="2"/>
        <v>0</v>
      </c>
      <c r="AF17" s="129">
        <f t="shared" si="2"/>
        <v>0</v>
      </c>
      <c r="AG17" s="129">
        <f t="shared" si="2"/>
        <v>0</v>
      </c>
      <c r="AH17" s="129">
        <f t="shared" si="2"/>
        <v>0</v>
      </c>
    </row>
    <row r="18" spans="1:34" s="125" customFormat="1" ht="13.5" customHeight="1" x14ac:dyDescent="0.2">
      <c r="A18" s="130" t="s">
        <v>549</v>
      </c>
      <c r="B18" s="661">
        <v>0</v>
      </c>
      <c r="C18" s="661">
        <v>0</v>
      </c>
      <c r="D18" s="661">
        <v>0</v>
      </c>
      <c r="E18" s="661">
        <f>'Saimnieciskas pamatdarbibas NP'!E178</f>
        <v>1484.5089233697508</v>
      </c>
      <c r="F18" s="661">
        <f>'Saimnieciskas pamatdarbibas NP'!F178</f>
        <v>2264.0810409458063</v>
      </c>
      <c r="G18" s="661">
        <f>'Saimnieciskas pamatdarbibas NP'!G178</f>
        <v>3067.0284538077249</v>
      </c>
      <c r="H18" s="661">
        <f>'Saimnieciskas pamatdarbibas NP'!H178</f>
        <v>3122.9368190543028</v>
      </c>
      <c r="I18" s="661">
        <f>'Saimnieciskas pamatdarbibas NP'!I178</f>
        <v>3178.8851843008597</v>
      </c>
      <c r="J18" s="661">
        <f>'Saimnieciskas pamatdarbibas NP'!J178</f>
        <v>3233.6935495474609</v>
      </c>
      <c r="K18" s="661">
        <f>'Saimnieciskas pamatdarbibas NP'!K178</f>
        <v>3288.5019147940329</v>
      </c>
      <c r="L18" s="661">
        <f>'Saimnieciskas pamatdarbibas NP'!L178</f>
        <v>5554.9291230405361</v>
      </c>
      <c r="M18" s="661">
        <f>'Saimnieciskas pamatdarbibas NP'!M178</f>
        <v>7821.3563312871484</v>
      </c>
      <c r="N18" s="661">
        <f>'Saimnieciskas pamatdarbibas NP'!N178</f>
        <v>10087.783539533724</v>
      </c>
      <c r="O18" s="661">
        <f>'Saimnieciskas pamatdarbibas NP'!O178</f>
        <v>10169.996087403517</v>
      </c>
      <c r="P18" s="661">
        <f>'Saimnieciskas pamatdarbibas NP'!P178</f>
        <v>10252.208635273462</v>
      </c>
      <c r="Q18" s="661">
        <f>'Saimnieciskas pamatdarbibas NP'!Q178</f>
        <v>10334.421183143313</v>
      </c>
      <c r="R18" s="661">
        <f>'Saimnieciskas pamatdarbibas NP'!R178</f>
        <v>-15803.36626898688</v>
      </c>
      <c r="S18" s="661">
        <f>'Saimnieciskas pamatdarbibas NP'!S178</f>
        <v>-16291.153721117014</v>
      </c>
      <c r="T18" s="661">
        <f>'Saimnieciskas pamatdarbibas NP'!T178</f>
        <v>-16778.941173247105</v>
      </c>
      <c r="U18" s="661">
        <f>'Saimnieciskas pamatdarbibas NP'!U178</f>
        <v>-17266.728625377335</v>
      </c>
      <c r="V18" s="661">
        <f>'Saimnieciskas pamatdarbibas NP'!V178</f>
        <v>-25254.51607750744</v>
      </c>
      <c r="W18" s="661">
        <f>'Saimnieciskas pamatdarbibas NP'!W178</f>
        <v>-25892.303529637618</v>
      </c>
      <c r="X18" s="661">
        <f>'Saimnieciskas pamatdarbibas NP'!X178</f>
        <v>-26530.090981767615</v>
      </c>
      <c r="Y18" s="661">
        <f>'Saimnieciskas pamatdarbibas NP'!Y178</f>
        <v>-27167.878433897902</v>
      </c>
      <c r="Z18" s="661">
        <f>'Saimnieciskas pamatdarbibas NP'!Z178</f>
        <v>-27805.665886028073</v>
      </c>
      <c r="AA18" s="661">
        <f>'Saimnieciskas pamatdarbibas NP'!AA178</f>
        <v>-28443.453338158128</v>
      </c>
      <c r="AB18" s="661">
        <f>'Saimnieciskas pamatdarbibas NP'!AB178</f>
        <v>-26869.62194728828</v>
      </c>
      <c r="AC18" s="661">
        <f>'Saimnieciskas pamatdarbibas NP'!AC178</f>
        <v>8904.2094435815088</v>
      </c>
      <c r="AD18" s="661">
        <f>'Saimnieciskas pamatdarbibas NP'!AD178</f>
        <v>92858.040834451429</v>
      </c>
      <c r="AE18" s="661">
        <f>'Saimnieciskas pamatdarbibas NP'!AE178</f>
        <v>96441.872225321145</v>
      </c>
      <c r="AF18" s="661">
        <f>'Saimnieciskas pamatdarbibas NP'!AF178</f>
        <v>98271.48895581429</v>
      </c>
      <c r="AG18" s="661">
        <f>'Saimnieciskas pamatdarbibas NP'!AG178</f>
        <v>100101.10568630749</v>
      </c>
      <c r="AH18" s="661">
        <f>'Saimnieciskas pamatdarbibas NP'!AH178</f>
        <v>101930.72241680069</v>
      </c>
    </row>
    <row r="19" spans="1:34" s="125" customFormat="1" ht="13.5" customHeight="1" x14ac:dyDescent="0.2">
      <c r="A19" s="130" t="s">
        <v>164</v>
      </c>
      <c r="B19" s="661">
        <f>Aprēķini!B106</f>
        <v>591813.79999999993</v>
      </c>
      <c r="C19" s="661">
        <f>Aprēķini!C106</f>
        <v>350320.47</v>
      </c>
      <c r="D19" s="661">
        <f>Aprēķini!D106</f>
        <v>523465</v>
      </c>
      <c r="E19" s="661">
        <f>Aprēķini!E106</f>
        <v>0</v>
      </c>
      <c r="F19" s="661">
        <v>0</v>
      </c>
      <c r="G19" s="661">
        <v>0</v>
      </c>
      <c r="H19" s="661">
        <v>0</v>
      </c>
      <c r="I19" s="661">
        <v>0</v>
      </c>
      <c r="J19" s="661">
        <v>0</v>
      </c>
      <c r="K19" s="661">
        <v>0</v>
      </c>
      <c r="L19" s="661">
        <v>0</v>
      </c>
      <c r="M19" s="661">
        <v>0</v>
      </c>
      <c r="N19" s="661">
        <v>0</v>
      </c>
      <c r="O19" s="661">
        <v>0</v>
      </c>
      <c r="P19" s="661">
        <v>0</v>
      </c>
      <c r="Q19" s="661">
        <v>0</v>
      </c>
      <c r="R19" s="661">
        <v>0</v>
      </c>
      <c r="S19" s="661">
        <v>0</v>
      </c>
      <c r="T19" s="661">
        <v>0</v>
      </c>
      <c r="U19" s="661">
        <v>0</v>
      </c>
      <c r="V19" s="661">
        <v>0</v>
      </c>
      <c r="W19" s="661">
        <v>0</v>
      </c>
      <c r="X19" s="661">
        <v>0</v>
      </c>
      <c r="Y19" s="661">
        <v>0</v>
      </c>
      <c r="Z19" s="661">
        <v>0</v>
      </c>
      <c r="AA19" s="661">
        <v>0</v>
      </c>
      <c r="AB19" s="661">
        <v>0</v>
      </c>
      <c r="AC19" s="661">
        <v>0</v>
      </c>
      <c r="AD19" s="661">
        <v>0</v>
      </c>
      <c r="AE19" s="661">
        <v>0</v>
      </c>
      <c r="AF19" s="661">
        <v>0</v>
      </c>
      <c r="AG19" s="661">
        <v>0</v>
      </c>
      <c r="AH19" s="661">
        <v>0</v>
      </c>
    </row>
    <row r="20" spans="1:34" s="125" customFormat="1" x14ac:dyDescent="0.2">
      <c r="A20" s="131" t="s">
        <v>550</v>
      </c>
      <c r="B20" s="129">
        <f t="shared" ref="B20:AH20" si="3">SUM(B17:B19)</f>
        <v>591813.79999999993</v>
      </c>
      <c r="C20" s="129">
        <f t="shared" si="3"/>
        <v>382100.47</v>
      </c>
      <c r="D20" s="129">
        <f t="shared" si="3"/>
        <v>555245</v>
      </c>
      <c r="E20" s="129">
        <f t="shared" si="3"/>
        <v>1484.5089233697508</v>
      </c>
      <c r="F20" s="129">
        <f t="shared" si="3"/>
        <v>2264.0810409458063</v>
      </c>
      <c r="G20" s="129">
        <f t="shared" si="3"/>
        <v>3067.0284538077249</v>
      </c>
      <c r="H20" s="129">
        <f t="shared" si="3"/>
        <v>3122.9368190543028</v>
      </c>
      <c r="I20" s="129">
        <f t="shared" si="3"/>
        <v>3178.8851843008597</v>
      </c>
      <c r="J20" s="129">
        <f t="shared" si="3"/>
        <v>3233.6935495474609</v>
      </c>
      <c r="K20" s="129">
        <f t="shared" si="3"/>
        <v>3288.5019147940329</v>
      </c>
      <c r="L20" s="129">
        <f t="shared" si="3"/>
        <v>5554.9291230405361</v>
      </c>
      <c r="M20" s="129">
        <f t="shared" si="3"/>
        <v>7821.3563312871484</v>
      </c>
      <c r="N20" s="129">
        <f t="shared" si="3"/>
        <v>10087.783539533724</v>
      </c>
      <c r="O20" s="129">
        <f t="shared" si="3"/>
        <v>10169.996087403517</v>
      </c>
      <c r="P20" s="129">
        <f t="shared" si="3"/>
        <v>10252.208635273462</v>
      </c>
      <c r="Q20" s="129">
        <f t="shared" si="3"/>
        <v>10334.421183143313</v>
      </c>
      <c r="R20" s="129">
        <f t="shared" si="3"/>
        <v>-15803.36626898688</v>
      </c>
      <c r="S20" s="129">
        <f t="shared" si="3"/>
        <v>-16291.153721117014</v>
      </c>
      <c r="T20" s="129">
        <f t="shared" si="3"/>
        <v>-16778.941173247105</v>
      </c>
      <c r="U20" s="129">
        <f t="shared" si="3"/>
        <v>-17266.728625377335</v>
      </c>
      <c r="V20" s="129">
        <f t="shared" si="3"/>
        <v>-25254.51607750744</v>
      </c>
      <c r="W20" s="129">
        <f t="shared" si="3"/>
        <v>-25892.303529637618</v>
      </c>
      <c r="X20" s="129">
        <f t="shared" si="3"/>
        <v>-26530.090981767615</v>
      </c>
      <c r="Y20" s="129">
        <f t="shared" si="3"/>
        <v>-27167.878433897902</v>
      </c>
      <c r="Z20" s="129">
        <f t="shared" si="3"/>
        <v>-27805.665886028073</v>
      </c>
      <c r="AA20" s="129">
        <f t="shared" si="3"/>
        <v>-28443.453338158128</v>
      </c>
      <c r="AB20" s="129">
        <f t="shared" si="3"/>
        <v>-26869.62194728828</v>
      </c>
      <c r="AC20" s="129">
        <f t="shared" si="3"/>
        <v>8904.2094435815088</v>
      </c>
      <c r="AD20" s="129">
        <f t="shared" si="3"/>
        <v>92858.040834451429</v>
      </c>
      <c r="AE20" s="129">
        <f t="shared" si="3"/>
        <v>96441.872225321145</v>
      </c>
      <c r="AF20" s="129">
        <f t="shared" si="3"/>
        <v>98271.48895581429</v>
      </c>
      <c r="AG20" s="129">
        <f t="shared" si="3"/>
        <v>100101.10568630749</v>
      </c>
      <c r="AH20" s="129">
        <f t="shared" si="3"/>
        <v>101930.72241680069</v>
      </c>
    </row>
    <row r="21" spans="1:34" s="125" customFormat="1" x14ac:dyDescent="0.2">
      <c r="A21" s="131" t="s">
        <v>543</v>
      </c>
      <c r="B21" s="129">
        <f t="shared" ref="B21:AH21" si="4">B13-B20</f>
        <v>-591813.79999999993</v>
      </c>
      <c r="C21" s="129">
        <f t="shared" si="4"/>
        <v>-329600.46999999997</v>
      </c>
      <c r="D21" s="129">
        <f t="shared" si="4"/>
        <v>-502745</v>
      </c>
      <c r="E21" s="129">
        <f t="shared" si="4"/>
        <v>29716.867801467524</v>
      </c>
      <c r="F21" s="129">
        <f t="shared" si="4"/>
        <v>49723.562160130445</v>
      </c>
      <c r="G21" s="129">
        <f t="shared" si="4"/>
        <v>84726.736030593005</v>
      </c>
      <c r="H21" s="129">
        <f t="shared" si="4"/>
        <v>115383.08945353526</v>
      </c>
      <c r="I21" s="129">
        <f t="shared" si="4"/>
        <v>151008.17611288338</v>
      </c>
      <c r="J21" s="129">
        <f t="shared" si="4"/>
        <v>157468.10528950224</v>
      </c>
      <c r="K21" s="129">
        <f t="shared" si="4"/>
        <v>160111.08701357909</v>
      </c>
      <c r="L21" s="129">
        <f t="shared" si="4"/>
        <v>160106.49867238884</v>
      </c>
      <c r="M21" s="129">
        <f t="shared" si="4"/>
        <v>160438.41126301422</v>
      </c>
      <c r="N21" s="129">
        <f t="shared" si="4"/>
        <v>160256.27707815624</v>
      </c>
      <c r="O21" s="129">
        <f t="shared" si="4"/>
        <v>158647.86053478922</v>
      </c>
      <c r="P21" s="129">
        <f t="shared" si="4"/>
        <v>162081.70312272158</v>
      </c>
      <c r="Q21" s="129">
        <f t="shared" si="4"/>
        <v>168186.85028481504</v>
      </c>
      <c r="R21" s="129">
        <f t="shared" si="4"/>
        <v>195944.19245743658</v>
      </c>
      <c r="S21" s="129">
        <f t="shared" si="4"/>
        <v>204486.83618630408</v>
      </c>
      <c r="T21" s="129">
        <f t="shared" si="4"/>
        <v>203713.24822494044</v>
      </c>
      <c r="U21" s="129">
        <f t="shared" si="4"/>
        <v>207940.23844087351</v>
      </c>
      <c r="V21" s="129">
        <f t="shared" si="4"/>
        <v>219199.97554099854</v>
      </c>
      <c r="W21" s="129">
        <f t="shared" si="4"/>
        <v>223390.46482511546</v>
      </c>
      <c r="X21" s="129">
        <f t="shared" si="4"/>
        <v>230343.85028449923</v>
      </c>
      <c r="Y21" s="129">
        <f t="shared" si="4"/>
        <v>234534.33956861665</v>
      </c>
      <c r="Z21" s="129">
        <f t="shared" si="4"/>
        <v>238366.0536800042</v>
      </c>
      <c r="AA21" s="129">
        <f t="shared" si="4"/>
        <v>242903.39533612039</v>
      </c>
      <c r="AB21" s="129">
        <f t="shared" si="4"/>
        <v>244781.24412623982</v>
      </c>
      <c r="AC21" s="129">
        <f t="shared" si="4"/>
        <v>215038.93850959436</v>
      </c>
      <c r="AD21" s="129">
        <f t="shared" si="4"/>
        <v>150050.43350703316</v>
      </c>
      <c r="AE21" s="129">
        <f t="shared" si="4"/>
        <v>151131.73228988034</v>
      </c>
      <c r="AF21" s="129">
        <f t="shared" si="4"/>
        <v>144678.17556234263</v>
      </c>
      <c r="AG21" s="129">
        <f t="shared" si="4"/>
        <v>696203.69612649537</v>
      </c>
      <c r="AH21" s="129">
        <f t="shared" si="4"/>
        <v>150451.21669064806</v>
      </c>
    </row>
    <row r="22" spans="1:34" s="125" customFormat="1" x14ac:dyDescent="0.2">
      <c r="A22" s="132" t="s">
        <v>137</v>
      </c>
      <c r="B22" s="133"/>
      <c r="C22" s="630">
        <f>IF(ISERROR(IRR(C21:AH21,0)),"Nevar aprēķināt", IRR(C21:AG21,0))</f>
        <v>0.14327508188100735</v>
      </c>
      <c r="D22" s="630"/>
      <c r="E22" s="630"/>
      <c r="F22" s="630"/>
      <c r="G22" s="630"/>
      <c r="H22" s="630"/>
      <c r="I22" s="630"/>
      <c r="J22" s="630"/>
      <c r="K22" s="630"/>
      <c r="L22" s="630"/>
    </row>
    <row r="23" spans="1:34" s="125" customFormat="1" x14ac:dyDescent="0.2">
      <c r="A23" s="132" t="s">
        <v>138</v>
      </c>
      <c r="B23" s="133"/>
      <c r="C23" s="631">
        <f>NPV('Kopējie pieņēmumi'!B19,(C21:AG21))</f>
        <v>898347.34343863267</v>
      </c>
      <c r="D23" s="631"/>
      <c r="E23" s="631"/>
      <c r="F23" s="631"/>
      <c r="G23" s="631"/>
      <c r="H23" s="631"/>
      <c r="I23" s="631"/>
      <c r="J23" s="631"/>
      <c r="K23" s="631"/>
      <c r="L23" s="631"/>
    </row>
    <row r="24" spans="1:34" s="125" customFormat="1" x14ac:dyDescent="0.2">
      <c r="A24" s="132" t="s">
        <v>175</v>
      </c>
      <c r="B24" s="134"/>
      <c r="C24" s="629">
        <f>NPV('Kopējie pieņēmumi'!B19,('Ekonomiskā analīze'!C13:AG13))/NPV('Kopējie pieņēmumi'!B19,('Ekonomiskā analīze'!C20:AG20))</f>
        <v>2.032499500947655</v>
      </c>
      <c r="D24" s="629"/>
      <c r="E24" s="629"/>
      <c r="F24" s="629"/>
      <c r="G24" s="629"/>
      <c r="H24" s="629"/>
      <c r="I24" s="629"/>
      <c r="J24" s="629"/>
      <c r="K24" s="629"/>
      <c r="L24" s="629"/>
    </row>
    <row r="25" spans="1:34" s="125" customFormat="1" x14ac:dyDescent="0.2"/>
    <row r="26" spans="1:34" s="125" customFormat="1" x14ac:dyDescent="0.2">
      <c r="A26" s="662" t="s">
        <v>107</v>
      </c>
    </row>
    <row r="27" spans="1:34" s="125" customFormat="1" x14ac:dyDescent="0.2">
      <c r="A27" s="660" t="s">
        <v>157</v>
      </c>
      <c r="B27" s="665">
        <f>NPV('Kopējie pieņēmumi'!B19,(C7:AG7))</f>
        <v>115126.44811344397</v>
      </c>
      <c r="C27" s="670">
        <f t="shared" ref="C27:C32" si="5">B27/$B$32</f>
        <v>6.5101383928096418E-2</v>
      </c>
    </row>
    <row r="28" spans="1:34" s="125" customFormat="1" x14ac:dyDescent="0.2">
      <c r="A28" s="660" t="s">
        <v>158</v>
      </c>
      <c r="B28" s="665">
        <f>NPV('Kopējie pieņēmumi'!B19,(C8:AG8))</f>
        <v>1268127.6733463188</v>
      </c>
      <c r="C28" s="670">
        <f t="shared" si="5"/>
        <v>0.71709731243521024</v>
      </c>
    </row>
    <row r="29" spans="1:34" s="125" customFormat="1" ht="25.5" x14ac:dyDescent="0.2">
      <c r="A29" s="581" t="s">
        <v>159</v>
      </c>
      <c r="B29" s="665">
        <f>NPV('Kopējie pieņēmumi'!B19,(C9:AG9))</f>
        <v>94789.549806850846</v>
      </c>
      <c r="C29" s="670">
        <f t="shared" si="5"/>
        <v>5.3601331192520307E-2</v>
      </c>
    </row>
    <row r="30" spans="1:34" s="125" customFormat="1" x14ac:dyDescent="0.2">
      <c r="A30" s="660" t="s">
        <v>538</v>
      </c>
      <c r="B30" s="665">
        <f>NPV('Kopējie pieņēmumi'!B19,(C11:AG11))</f>
        <v>224938.710959085</v>
      </c>
      <c r="C30" s="670">
        <f t="shared" si="5"/>
        <v>0.12719771713975478</v>
      </c>
    </row>
    <row r="31" spans="1:34" s="656" customFormat="1" x14ac:dyDescent="0.2">
      <c r="A31" s="660" t="s">
        <v>547</v>
      </c>
      <c r="B31" s="665">
        <f>NPV('Kopējie pieņēmumi'!B19,C12:AG12)</f>
        <v>65435.448040391217</v>
      </c>
      <c r="C31" s="670">
        <f t="shared" si="5"/>
        <v>3.7002255304418238E-2</v>
      </c>
    </row>
    <row r="32" spans="1:34" s="656" customFormat="1" x14ac:dyDescent="0.2">
      <c r="A32" s="663" t="s">
        <v>401</v>
      </c>
      <c r="B32" s="669">
        <f>SUM(B27:B31)</f>
        <v>1768417.8302660899</v>
      </c>
      <c r="C32" s="671">
        <f t="shared" si="5"/>
        <v>1</v>
      </c>
    </row>
    <row r="34" spans="1:3" x14ac:dyDescent="0.2">
      <c r="A34" s="662" t="s">
        <v>108</v>
      </c>
      <c r="B34" s="125"/>
    </row>
    <row r="35" spans="1:3" ht="25.5" x14ac:dyDescent="0.2">
      <c r="A35" s="578" t="s">
        <v>162</v>
      </c>
      <c r="B35" s="665">
        <f>NPV('Kopējie pieņēmumi'!B19,(C15:AG15))</f>
        <v>4513.7880860405166</v>
      </c>
      <c r="C35" s="670">
        <f>B35/$B$39</f>
        <v>5.1878418523298823E-3</v>
      </c>
    </row>
    <row r="36" spans="1:3" ht="38.25" x14ac:dyDescent="0.2">
      <c r="A36" s="578" t="s">
        <v>212</v>
      </c>
      <c r="B36" s="665">
        <f>NPV('Kopējie pieņēmumi'!B19,(C16:AG16))</f>
        <v>52865.486063706529</v>
      </c>
      <c r="C36" s="670">
        <f>B36/$B$39</f>
        <v>6.0760003774487578E-2</v>
      </c>
    </row>
    <row r="37" spans="1:3" x14ac:dyDescent="0.2">
      <c r="A37" s="130" t="s">
        <v>549</v>
      </c>
      <c r="B37" s="665">
        <f>NPV('Kopējie pieņēmumi'!B19,(C18:AG18))</f>
        <v>29233.408318493384</v>
      </c>
      <c r="C37" s="670">
        <f>B37/$B$39</f>
        <v>3.359889659639799E-2</v>
      </c>
    </row>
    <row r="38" spans="1:3" x14ac:dyDescent="0.2">
      <c r="A38" s="130" t="s">
        <v>164</v>
      </c>
      <c r="B38" s="665">
        <f>NPV('Kopējie pieņēmumi'!B19,(C19:AG19))</f>
        <v>783457.80435921659</v>
      </c>
      <c r="C38" s="670">
        <f>B38/$B$39</f>
        <v>0.90045325777678464</v>
      </c>
    </row>
    <row r="39" spans="1:3" x14ac:dyDescent="0.2">
      <c r="A39" s="664" t="s">
        <v>401</v>
      </c>
      <c r="B39" s="666">
        <f>SUM(B35:B38)</f>
        <v>870070.48682745697</v>
      </c>
      <c r="C39" s="671">
        <f>B39/$B$39</f>
        <v>1</v>
      </c>
    </row>
    <row r="40" spans="1:3" x14ac:dyDescent="0.2">
      <c r="C40" s="672"/>
    </row>
    <row r="41" spans="1:3" x14ac:dyDescent="0.2">
      <c r="B41" s="425"/>
    </row>
  </sheetData>
  <phoneticPr fontId="2" type="noConversion"/>
  <pageMargins left="0.7" right="0.7" top="0.75" bottom="0.75" header="0.3" footer="0.3"/>
  <pageSetup paperSize="9" scale="85"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61"/>
  <sheetViews>
    <sheetView showGridLines="0" topLeftCell="A77" zoomScale="85" workbookViewId="0">
      <selection activeCell="D123" sqref="D123"/>
    </sheetView>
  </sheetViews>
  <sheetFormatPr defaultRowHeight="10.5" x14ac:dyDescent="0.2"/>
  <cols>
    <col min="1" max="1" width="47.140625" style="312" customWidth="1"/>
    <col min="2" max="2" width="16" style="312" customWidth="1"/>
    <col min="3" max="3" width="13" style="312" customWidth="1"/>
    <col min="4" max="4" width="11.140625" style="312" customWidth="1"/>
    <col min="5" max="5" width="12.28515625" style="312" customWidth="1"/>
    <col min="6" max="35" width="11.140625" style="312" customWidth="1"/>
    <col min="36" max="16384" width="9.140625" style="312"/>
  </cols>
  <sheetData>
    <row r="1" spans="1:37" ht="19.5" x14ac:dyDescent="0.2">
      <c r="A1" s="505" t="str">
        <f>'Datu ievade'!B12</f>
        <v>SIA "Dobeles Ūdens"</v>
      </c>
      <c r="B1" s="506"/>
    </row>
    <row r="2" spans="1:37" ht="18" x14ac:dyDescent="0.2">
      <c r="A2" s="489" t="str">
        <f>'Datu ievade'!B13</f>
        <v>"Kanalizācijas tīklu paplašināšana Dobeles aglomerācijā" II kārta</v>
      </c>
    </row>
    <row r="3" spans="1:37" ht="18" x14ac:dyDescent="0.2">
      <c r="A3" s="507" t="s">
        <v>134</v>
      </c>
      <c r="B3" s="507"/>
      <c r="C3" s="507"/>
    </row>
    <row r="4" spans="1:37" ht="14.25" customHeight="1" x14ac:dyDescent="0.2">
      <c r="C4" s="637"/>
      <c r="D4" s="637"/>
      <c r="E4" s="637"/>
      <c r="F4" s="637"/>
    </row>
    <row r="5" spans="1:37" ht="14.25" customHeight="1" x14ac:dyDescent="0.15">
      <c r="A5" s="111" t="s">
        <v>176</v>
      </c>
      <c r="B5" s="111" t="s">
        <v>177</v>
      </c>
      <c r="C5" s="116">
        <f>3%</f>
        <v>0.03</v>
      </c>
      <c r="D5" s="116">
        <v>0.05</v>
      </c>
      <c r="E5" s="116">
        <f>'Kopējie pieņēmumi'!B18</f>
        <v>6.0999999999999999E-2</v>
      </c>
      <c r="F5" s="116">
        <v>0.1</v>
      </c>
    </row>
    <row r="6" spans="1:37" ht="14.25" customHeight="1" x14ac:dyDescent="0.2">
      <c r="A6" s="112"/>
      <c r="B6" s="113"/>
      <c r="C6" s="113"/>
      <c r="D6" s="113"/>
      <c r="E6" s="113"/>
      <c r="F6" s="113"/>
    </row>
    <row r="7" spans="1:37" ht="14.25" customHeight="1" x14ac:dyDescent="0.2">
      <c r="A7" s="510" t="s">
        <v>178</v>
      </c>
      <c r="B7" s="511" t="s">
        <v>136</v>
      </c>
      <c r="C7" s="512">
        <f>NPV(C5,Aprēķini!$C194:$AG194)</f>
        <v>-217193.62883185715</v>
      </c>
      <c r="D7" s="512">
        <f>NPV(D5,Aprēķini!$C194:$AG194)</f>
        <v>-390089.50430381065</v>
      </c>
      <c r="E7" s="512">
        <f>NPV(E5,Aprēķini!$C194:$AG194)</f>
        <v>-450449.55150393891</v>
      </c>
      <c r="F7" s="512">
        <f>NPV(F5,Aprēķini!$C194:$AG194)</f>
        <v>-558393.04006090865</v>
      </c>
    </row>
    <row r="8" spans="1:37" ht="14.25" customHeight="1" x14ac:dyDescent="0.2">
      <c r="A8" s="510" t="s">
        <v>180</v>
      </c>
      <c r="B8" s="511" t="s">
        <v>181</v>
      </c>
      <c r="C8" s="636">
        <f>IRR(Aprēķini!C194:AG194,0)</f>
        <v>1.4789694628712935E-2</v>
      </c>
      <c r="D8" s="636"/>
      <c r="E8" s="636"/>
      <c r="F8" s="636"/>
    </row>
    <row r="9" spans="1:37" ht="14.25" customHeight="1" x14ac:dyDescent="0.2">
      <c r="A9" s="112"/>
      <c r="B9" s="511"/>
      <c r="C9" s="113"/>
      <c r="D9" s="113"/>
      <c r="E9" s="113"/>
      <c r="F9" s="113"/>
    </row>
    <row r="10" spans="1:37" ht="14.25" customHeight="1" x14ac:dyDescent="0.2">
      <c r="A10" s="510" t="s">
        <v>182</v>
      </c>
      <c r="B10" s="511" t="s">
        <v>136</v>
      </c>
      <c r="C10" s="512">
        <f>NPV(C5,Aprēķini!$C246:$AG246)</f>
        <v>425415.89342666348</v>
      </c>
      <c r="D10" s="512">
        <f>NPV(D5,Aprēķini!$C246:$AG246)</f>
        <v>272095.03800118918</v>
      </c>
      <c r="E10" s="512">
        <f>NPV(E5,Aprēķini!$C246:$AG246)</f>
        <v>216881.68129412699</v>
      </c>
      <c r="F10" s="512">
        <f>NPV(F5,Aprēķini!$C246:$AG246)</f>
        <v>108417.51207449565</v>
      </c>
    </row>
    <row r="11" spans="1:37" ht="18" customHeight="1" x14ac:dyDescent="0.2">
      <c r="A11" s="510" t="s">
        <v>183</v>
      </c>
      <c r="B11" s="511" t="s">
        <v>181</v>
      </c>
      <c r="C11" s="636">
        <f>IRR(Aprēķini!C246:AG246,0)</f>
        <v>2.1272705165552939</v>
      </c>
      <c r="D11" s="636"/>
      <c r="E11" s="636"/>
      <c r="F11" s="636"/>
    </row>
    <row r="12" spans="1:37" ht="14.25" customHeight="1" x14ac:dyDescent="0.2">
      <c r="A12" s="506"/>
      <c r="B12" s="506"/>
      <c r="C12" s="506"/>
      <c r="D12" s="506"/>
      <c r="E12" s="506"/>
      <c r="F12" s="506"/>
    </row>
    <row r="13" spans="1:37" s="315" customFormat="1" ht="28.5" customHeight="1" x14ac:dyDescent="0.2">
      <c r="A13" s="513"/>
      <c r="B13" s="514" t="s">
        <v>184</v>
      </c>
      <c r="C13" s="514">
        <f>Aprēķini!B6</f>
        <v>2017</v>
      </c>
      <c r="D13" s="514">
        <f>Aprēķini!C6</f>
        <v>2018</v>
      </c>
      <c r="E13" s="514">
        <f>Aprēķini!D6</f>
        <v>2019</v>
      </c>
      <c r="F13" s="514">
        <f>Aprēķini!E6</f>
        <v>2020</v>
      </c>
      <c r="G13" s="514">
        <f>Aprēķini!F6</f>
        <v>2021</v>
      </c>
      <c r="H13" s="514">
        <f>Aprēķini!G6</f>
        <v>2022</v>
      </c>
      <c r="I13" s="514">
        <f>Aprēķini!H6</f>
        <v>2023</v>
      </c>
      <c r="J13" s="514">
        <f>Aprēķini!I6</f>
        <v>2024</v>
      </c>
      <c r="K13" s="514">
        <f>Aprēķini!J6</f>
        <v>2025</v>
      </c>
      <c r="L13" s="514">
        <f>Aprēķini!K6</f>
        <v>2026</v>
      </c>
      <c r="M13" s="514">
        <f>Aprēķini!L6</f>
        <v>2027</v>
      </c>
      <c r="N13" s="514">
        <f>Aprēķini!M6</f>
        <v>2028</v>
      </c>
      <c r="O13" s="514">
        <f>Aprēķini!N6</f>
        <v>2029</v>
      </c>
      <c r="P13" s="514">
        <f>Aprēķini!O6</f>
        <v>2030</v>
      </c>
      <c r="Q13" s="514">
        <f>Aprēķini!P6</f>
        <v>2031</v>
      </c>
      <c r="R13" s="514">
        <f>Aprēķini!Q6</f>
        <v>2032</v>
      </c>
      <c r="S13" s="514">
        <f>Aprēķini!R6</f>
        <v>2033</v>
      </c>
      <c r="T13" s="514">
        <f>Aprēķini!S6</f>
        <v>2034</v>
      </c>
      <c r="U13" s="514">
        <f>Aprēķini!T6</f>
        <v>2035</v>
      </c>
      <c r="V13" s="514">
        <f>Aprēķini!U6</f>
        <v>2036</v>
      </c>
      <c r="W13" s="514">
        <f>Aprēķini!V6</f>
        <v>2037</v>
      </c>
      <c r="X13" s="514">
        <f>Aprēķini!W6</f>
        <v>2038</v>
      </c>
      <c r="Y13" s="514">
        <f>Aprēķini!X6</f>
        <v>2039</v>
      </c>
      <c r="Z13" s="514">
        <f>Aprēķini!Y6</f>
        <v>2040</v>
      </c>
      <c r="AA13" s="514">
        <f>Aprēķini!Z6</f>
        <v>2041</v>
      </c>
      <c r="AB13" s="514">
        <f>Aprēķini!AA6</f>
        <v>2042</v>
      </c>
      <c r="AC13" s="514">
        <f>Aprēķini!AB6</f>
        <v>2043</v>
      </c>
      <c r="AD13" s="514">
        <f>Aprēķini!AC6</f>
        <v>2044</v>
      </c>
      <c r="AE13" s="514">
        <f>Aprēķini!AD6</f>
        <v>2045</v>
      </c>
      <c r="AF13" s="514">
        <f>Aprēķini!AE6</f>
        <v>2046</v>
      </c>
      <c r="AG13" s="514">
        <f>Aprēķini!AF6</f>
        <v>2047</v>
      </c>
      <c r="AH13" s="514">
        <f>Aprēķini!AG6</f>
        <v>2048</v>
      </c>
      <c r="AI13" s="514">
        <f>Aprēķini!AH6</f>
        <v>2049</v>
      </c>
    </row>
    <row r="14" spans="1:37" ht="12.75" x14ac:dyDescent="0.2">
      <c r="A14" s="641" t="s">
        <v>146</v>
      </c>
      <c r="B14" s="622"/>
      <c r="C14" s="622"/>
      <c r="D14" s="622"/>
      <c r="E14" s="622"/>
      <c r="F14" s="622"/>
      <c r="G14" s="622"/>
      <c r="H14" s="622"/>
      <c r="I14" s="622"/>
      <c r="J14" s="622"/>
      <c r="K14" s="622"/>
      <c r="L14" s="622"/>
      <c r="M14" s="622"/>
      <c r="N14" s="622"/>
      <c r="O14" s="622"/>
      <c r="P14" s="622"/>
      <c r="Q14" s="622"/>
      <c r="R14" s="622"/>
      <c r="S14" s="622"/>
      <c r="T14" s="622"/>
      <c r="U14" s="622"/>
      <c r="V14" s="622"/>
      <c r="W14" s="622"/>
      <c r="X14" s="622"/>
      <c r="Y14" s="622"/>
      <c r="Z14" s="622"/>
      <c r="AA14" s="622"/>
      <c r="AB14" s="622"/>
      <c r="AC14" s="622"/>
      <c r="AD14" s="622"/>
      <c r="AE14" s="622"/>
      <c r="AF14" s="622"/>
      <c r="AG14" s="622"/>
      <c r="AH14" s="622"/>
      <c r="AI14" s="622"/>
    </row>
    <row r="15" spans="1:37" ht="12.75" x14ac:dyDescent="0.2">
      <c r="A15" s="113" t="s">
        <v>185</v>
      </c>
      <c r="B15" s="115">
        <v>0.1</v>
      </c>
      <c r="C15" s="515">
        <f>Aprēķini!B$194+Aprēķini!B$190*'Jutīguma analīze_IIA'!$B15</f>
        <v>-591813.80000000005</v>
      </c>
      <c r="D15" s="515">
        <f>Aprēķini!C$194+Aprēķini!C$190*'Jutīguma analīze_IIA'!$B15</f>
        <v>-350720.66395739687</v>
      </c>
      <c r="E15" s="515">
        <f>Aprēķini!D$194+Aprēķini!D$190*'Jutīguma analīze_IIA'!$B15</f>
        <v>-520223.3810203558</v>
      </c>
      <c r="F15" s="515">
        <f>Aprēķini!E$194+Aprēķini!E$190*'Jutīguma analīze_IIA'!$B15</f>
        <v>21320.342230738595</v>
      </c>
      <c r="G15" s="515">
        <f>Aprēķini!F$194+Aprēķini!F$190*'Jutīguma analīze_IIA'!$B15</f>
        <v>21221.61115702393</v>
      </c>
      <c r="H15" s="515">
        <f>Aprēķini!G$194+Aprēķini!G$190*'Jutīguma analīze_IIA'!$B15</f>
        <v>21762.057726216135</v>
      </c>
      <c r="I15" s="515">
        <f>Aprēķini!H$194+Aprēķini!H$190*'Jutīguma analīze_IIA'!$B15</f>
        <v>21683.921765320934</v>
      </c>
      <c r="J15" s="515">
        <f>Aprēķini!I$194+Aprēķini!I$190*'Jutīguma analīze_IIA'!$B15</f>
        <v>21244.707294274111</v>
      </c>
      <c r="K15" s="515">
        <f>Aprēķini!J$194+Aprēķini!J$190*'Jutīguma analīze_IIA'!$B15</f>
        <v>25770.078736023203</v>
      </c>
      <c r="L15" s="515">
        <f>Aprēķini!K$194+Aprēķini!K$190*'Jutīguma analīze_IIA'!$B15</f>
        <v>26096.807979976074</v>
      </c>
      <c r="M15" s="515">
        <f>Aprēķini!L$194+Aprēķini!L$190*'Jutīguma analīze_IIA'!$B15</f>
        <v>26119.606426927112</v>
      </c>
      <c r="N15" s="515">
        <f>Aprēķini!M$194+Aprēķini!M$190*'Jutīguma analīze_IIA'!$B15</f>
        <v>26523.942483077499</v>
      </c>
      <c r="O15" s="515">
        <f>Aprēķini!N$194+Aprēķini!N$190*'Jutīguma analīze_IIA'!$B15</f>
        <v>26545.012433427622</v>
      </c>
      <c r="P15" s="515">
        <f>Aprēķini!O$194+Aprēķini!O$190*'Jutīguma analīze_IIA'!$B15</f>
        <v>21121.273356763704</v>
      </c>
      <c r="Q15" s="515">
        <f>Aprēķini!P$194+Aprēķini!P$190*'Jutīguma analīze_IIA'!$B15</f>
        <v>21039.060808893857</v>
      </c>
      <c r="R15" s="515">
        <f>Aprēķini!Q$194+Aprēķini!Q$190*'Jutīguma analīze_IIA'!$B15</f>
        <v>24009.149134620766</v>
      </c>
      <c r="S15" s="515">
        <f>Aprēķini!R$194+Aprēķini!R$190*'Jutīguma analīze_IIA'!$B15</f>
        <v>19594.543408573809</v>
      </c>
      <c r="T15" s="515">
        <f>Aprēķini!S$194+Aprēķini!S$190*'Jutīguma analīze_IIA'!$B15</f>
        <v>24299.986521106908</v>
      </c>
      <c r="U15" s="515">
        <f>Aprēķini!T$194+Aprēķini!T$190*'Jutīguma analīze_IIA'!$B15</f>
        <v>19042.239379435072</v>
      </c>
      <c r="V15" s="515">
        <f>Aprēķini!U$194+Aprēķini!U$190*'Jutīguma analīze_IIA'!$B15</f>
        <v>19148.489222365763</v>
      </c>
      <c r="W15" s="515">
        <f>Aprēķini!V$194+Aprēķini!V$190*'Jutīguma analīze_IIA'!$B15</f>
        <v>17979.374053705822</v>
      </c>
      <c r="X15" s="515">
        <f>Aprēķini!W$194+Aprēķini!W$190*'Jutīguma analīze_IIA'!$B15</f>
        <v>17854.086287436861</v>
      </c>
      <c r="Y15" s="515">
        <f>Aprēķini!X$194+Aprēķini!X$190*'Jutīguma analīze_IIA'!$B15</f>
        <v>20779.370898163601</v>
      </c>
      <c r="Z15" s="515">
        <f>Aprēķini!Y$194+Aprēķini!Y$190*'Jutīguma analīze_IIA'!$B15</f>
        <v>20654.083131895019</v>
      </c>
      <c r="AA15" s="515">
        <f>Aprēķini!Z$194+Aprēķini!Z$190*'Jutīguma analīze_IIA'!$B15</f>
        <v>20145.52925982574</v>
      </c>
      <c r="AB15" s="515">
        <f>Aprēķini!AA$194+Aprēķini!AA$190*'Jutīguma analīze_IIA'!$B15</f>
        <v>20401.7791027561</v>
      </c>
      <c r="AC15" s="515">
        <f>Aprēķini!AB$194+Aprēķini!AB$190*'Jutīguma analīze_IIA'!$B15</f>
        <v>20352.369652084009</v>
      </c>
      <c r="AD15" s="515">
        <f>Aprēķini!AC$194+Aprēķini!AC$190*'Jutīguma analīze_IIA'!$B15</f>
        <v>26549.403769768534</v>
      </c>
      <c r="AE15" s="515">
        <f>Aprēķini!AD$194+Aprēķini!AD$190*'Jutīguma analīze_IIA'!$B15</f>
        <v>51062.877174019821</v>
      </c>
      <c r="AF15" s="515">
        <f>Aprēķini!AE$194+Aprēķini!AE$190*'Jutīguma analīze_IIA'!$B15</f>
        <v>51294.421875146036</v>
      </c>
      <c r="AG15" s="515">
        <f>Aprēķini!AF$194+Aprēķini!AF$190*'Jutīguma analīze_IIA'!$B15</f>
        <v>41405.845943244341</v>
      </c>
      <c r="AH15" s="515">
        <f>Aprēķini!AG$194+Aprēķini!AG$190*'Jutīguma analīze_IIA'!$B15</f>
        <v>644986.81725874892</v>
      </c>
      <c r="AI15" s="515">
        <f>Aprēķini!AH$194+Aprēķini!AH$190*'Jutīguma analīze_IIA'!$B15</f>
        <v>41561.988574253679</v>
      </c>
      <c r="AJ15" s="508"/>
      <c r="AK15" s="508"/>
    </row>
    <row r="16" spans="1:37" ht="12.75" x14ac:dyDescent="0.2">
      <c r="A16" s="638"/>
      <c r="B16" s="115">
        <v>7.4999999999999997E-2</v>
      </c>
      <c r="C16" s="515">
        <f>Aprēķini!B$194+Aprēķini!B$190*'Jutīguma analīze_IIA'!$B16</f>
        <v>-591813.80000000005</v>
      </c>
      <c r="D16" s="515">
        <f>Aprēķini!C$194+Aprēķini!C$190*'Jutīguma analīze_IIA'!$B16</f>
        <v>-350720.66395739687</v>
      </c>
      <c r="E16" s="515">
        <f>Aprēķini!D$194+Aprēķini!D$190*'Jutīguma analīze_IIA'!$B16</f>
        <v>-520310.07928185409</v>
      </c>
      <c r="F16" s="515">
        <f>Aprēķini!E$194+Aprēķini!E$190*'Jutīguma analīze_IIA'!$B16</f>
        <v>20802.050159054314</v>
      </c>
      <c r="G16" s="515">
        <f>Aprēķini!F$194+Aprēķini!F$190*'Jutīguma analīze_IIA'!$B16</f>
        <v>20687.84542525189</v>
      </c>
      <c r="H16" s="515">
        <f>Aprēķini!G$194+Aprēķini!G$190*'Jutīguma analīze_IIA'!$B16</f>
        <v>21197.760313033774</v>
      </c>
      <c r="I16" s="515">
        <f>Aprēķini!H$194+Aprēķini!H$190*'Jutīguma analīze_IIA'!$B16</f>
        <v>21120.129524766951</v>
      </c>
      <c r="J16" s="515">
        <f>Aprēķini!I$194+Aprēķini!I$190*'Jutīguma analīze_IIA'!$B16</f>
        <v>20689.625647033768</v>
      </c>
      <c r="K16" s="515">
        <f>Aprēķini!J$194+Aprēķini!J$190*'Jutīguma analīze_IIA'!$B16</f>
        <v>25110.902093169323</v>
      </c>
      <c r="L16" s="515">
        <f>Aprēķini!K$194+Aprēķini!K$190*'Jutīguma analīze_IIA'!$B16</f>
        <v>25428.960027822206</v>
      </c>
      <c r="M16" s="515">
        <f>Aprēķini!L$194+Aprēķini!L$190*'Jutīguma analīze_IIA'!$B16</f>
        <v>25399.730618973303</v>
      </c>
      <c r="N16" s="515">
        <f>Aprēķini!M$194+Aprēķini!M$190*'Jutīguma analīze_IIA'!$B16</f>
        <v>25743.367510023756</v>
      </c>
      <c r="O16" s="515">
        <f>Aprēķini!N$194+Aprēķini!N$190*'Jutīguma analīze_IIA'!$B16</f>
        <v>25712.448888587591</v>
      </c>
      <c r="P16" s="515">
        <f>Aprēķini!O$194+Aprēķini!O$190*'Jutīguma analīze_IIA'!$B16</f>
        <v>20410.108142123543</v>
      </c>
      <c r="Q16" s="515">
        <f>Aprēķini!P$194+Aprēķini!P$190*'Jutīguma analīze_IIA'!$B16</f>
        <v>20327.895594253689</v>
      </c>
      <c r="R16" s="515">
        <f>Aprēķini!Q$194+Aprēķini!Q$190*'Jutīguma analīze_IIA'!$B16</f>
        <v>23228.613445580675</v>
      </c>
      <c r="S16" s="515">
        <f>Aprēķini!R$194+Aprēķini!R$190*'Jutīguma analīze_IIA'!$B16</f>
        <v>19508.380291765014</v>
      </c>
      <c r="T16" s="515">
        <f>Aprēķini!S$194+Aprēķini!S$190*'Jutīguma analīze_IIA'!$B16</f>
        <v>24117.967593834412</v>
      </c>
      <c r="U16" s="515">
        <f>Aprēķini!T$194+Aprēķini!T$190*'Jutīguma analīze_IIA'!$B16</f>
        <v>18990.800783839892</v>
      </c>
      <c r="V16" s="515">
        <f>Aprēķini!U$194+Aprēķini!U$190*'Jutīguma analīze_IIA'!$B16</f>
        <v>19105.721936070571</v>
      </c>
      <c r="W16" s="515">
        <f>Aprēķini!V$194+Aprēķini!V$190*'Jutīguma analīze_IIA'!$B16</f>
        <v>18144.718190610405</v>
      </c>
      <c r="X16" s="515">
        <f>Aprēķini!W$194+Aprēķini!W$190*'Jutīguma analīze_IIA'!$B16</f>
        <v>18036.773042941426</v>
      </c>
      <c r="Y16" s="515">
        <f>Aprēķini!X$194+Aprēķini!X$190*'Jutīguma analīze_IIA'!$B16</f>
        <v>20910.069081881873</v>
      </c>
      <c r="Z16" s="515">
        <f>Aprēķini!Y$194+Aprēķini!Y$190*'Jutīguma analīze_IIA'!$B16</f>
        <v>20802.123934213265</v>
      </c>
      <c r="AA16" s="515">
        <f>Aprēķini!Z$194+Aprēķini!Z$190*'Jutīguma analīze_IIA'!$B16</f>
        <v>20319.623274057612</v>
      </c>
      <c r="AB16" s="515">
        <f>Aprēķini!AA$194+Aprēķini!AA$190*'Jutīguma analīze_IIA'!$B16</f>
        <v>20584.544426287961</v>
      </c>
      <c r="AC16" s="515">
        <f>Aprēķini!AB$194+Aprēķini!AB$190*'Jutīguma analīze_IIA'!$B16</f>
        <v>20500.489022429563</v>
      </c>
      <c r="AD16" s="515">
        <f>Aprēķini!AC$194+Aprēķini!AC$190*'Jutīguma analīze_IIA'!$B16</f>
        <v>25743.639833101486</v>
      </c>
      <c r="AE16" s="515">
        <f>Aprēķini!AD$194+Aprēķini!AD$190*'Jutīguma analīze_IIA'!$B16</f>
        <v>47791.947219281836</v>
      </c>
      <c r="AF16" s="515">
        <f>Aprēķini!AE$194+Aprēķini!AE$190*'Jutīguma analīze_IIA'!$B16</f>
        <v>47936.778827408139</v>
      </c>
      <c r="AG16" s="515">
        <f>Aprēķini!AF$194+Aprēķini!AF$190*'Jutīguma analīze_IIA'!$B16</f>
        <v>38231.361059174829</v>
      </c>
      <c r="AH16" s="515">
        <f>Aprēķini!AG$194+Aprēķini!AG$190*'Jutīguma analīze_IIA'!$B16</f>
        <v>628053.00082817953</v>
      </c>
      <c r="AI16" s="515">
        <f>Aprēķini!AH$194+Aprēķini!AH$190*'Jutīguma analīze_IIA'!$B16</f>
        <v>38300.790597184256</v>
      </c>
    </row>
    <row r="17" spans="1:35" ht="12.75" x14ac:dyDescent="0.2">
      <c r="A17" s="639"/>
      <c r="B17" s="115">
        <v>0.05</v>
      </c>
      <c r="C17" s="515">
        <f>Aprēķini!B$194+Aprēķini!B$190*'Jutīguma analīze_IIA'!$B17</f>
        <v>-591813.80000000005</v>
      </c>
      <c r="D17" s="515">
        <f>Aprēķini!C$194+Aprēķini!C$190*'Jutīguma analīze_IIA'!$B17</f>
        <v>-350720.66395739687</v>
      </c>
      <c r="E17" s="515">
        <f>Aprēķini!D$194+Aprēķini!D$190*'Jutīguma analīze_IIA'!$B17</f>
        <v>-520396.77754335239</v>
      </c>
      <c r="F17" s="515">
        <f>Aprēķini!E$194+Aprēķini!E$190*'Jutīguma analīze_IIA'!$B17</f>
        <v>20283.758087370032</v>
      </c>
      <c r="G17" s="515">
        <f>Aprēķini!F$194+Aprēķini!F$190*'Jutīguma analīze_IIA'!$B17</f>
        <v>20154.079693479849</v>
      </c>
      <c r="H17" s="515">
        <f>Aprēķini!G$194+Aprēķini!G$190*'Jutīguma analīze_IIA'!$B17</f>
        <v>20633.462899851416</v>
      </c>
      <c r="I17" s="515">
        <f>Aprēķini!H$194+Aprēķini!H$190*'Jutīguma analīze_IIA'!$B17</f>
        <v>20556.337284212968</v>
      </c>
      <c r="J17" s="515">
        <f>Aprēķini!I$194+Aprēķini!I$190*'Jutīguma analīze_IIA'!$B17</f>
        <v>20134.54399979343</v>
      </c>
      <c r="K17" s="515">
        <f>Aprēķini!J$194+Aprēķini!J$190*'Jutīguma analīze_IIA'!$B17</f>
        <v>24451.725450315447</v>
      </c>
      <c r="L17" s="515">
        <f>Aprēķini!K$194+Aprēķini!K$190*'Jutīguma analīze_IIA'!$B17</f>
        <v>24761.112075668341</v>
      </c>
      <c r="M17" s="515">
        <f>Aprēķini!L$194+Aprēķini!L$190*'Jutīguma analīze_IIA'!$B17</f>
        <v>24679.85481101949</v>
      </c>
      <c r="N17" s="515">
        <f>Aprēķini!M$194+Aprēķini!M$190*'Jutīguma analīze_IIA'!$B17</f>
        <v>24962.792536970017</v>
      </c>
      <c r="O17" s="515">
        <f>Aprēķini!N$194+Aprēķini!N$190*'Jutīguma analīze_IIA'!$B17</f>
        <v>24879.885343747559</v>
      </c>
      <c r="P17" s="515">
        <f>Aprēķini!O$194+Aprēķini!O$190*'Jutīguma analīze_IIA'!$B17</f>
        <v>19698.942927483378</v>
      </c>
      <c r="Q17" s="515">
        <f>Aprēķini!P$194+Aprēķini!P$190*'Jutīguma analīze_IIA'!$B17</f>
        <v>19616.730379613524</v>
      </c>
      <c r="R17" s="515">
        <f>Aprēķini!Q$194+Aprēķini!Q$190*'Jutīguma analīze_IIA'!$B17</f>
        <v>22448.077756540581</v>
      </c>
      <c r="S17" s="515">
        <f>Aprēķini!R$194+Aprēķini!R$190*'Jutīguma analīze_IIA'!$B17</f>
        <v>19422.217174956219</v>
      </c>
      <c r="T17" s="515">
        <f>Aprēķini!S$194+Aprēķini!S$190*'Jutīguma analīze_IIA'!$B17</f>
        <v>23935.948666561915</v>
      </c>
      <c r="U17" s="515">
        <f>Aprēķini!T$194+Aprēķini!T$190*'Jutīguma analīze_IIA'!$B17</f>
        <v>18939.362188244708</v>
      </c>
      <c r="V17" s="515">
        <f>Aprēķini!U$194+Aprēķini!U$190*'Jutīguma analīze_IIA'!$B17</f>
        <v>19062.95464977538</v>
      </c>
      <c r="W17" s="515">
        <f>Aprēķini!V$194+Aprēķini!V$190*'Jutīguma analīze_IIA'!$B17</f>
        <v>18310.062327514985</v>
      </c>
      <c r="X17" s="515">
        <f>Aprēķini!W$194+Aprēķini!W$190*'Jutīguma analīze_IIA'!$B17</f>
        <v>18219.459798445987</v>
      </c>
      <c r="Y17" s="515">
        <f>Aprēķini!X$194+Aprēķini!X$190*'Jutīguma analīze_IIA'!$B17</f>
        <v>21040.767265600145</v>
      </c>
      <c r="Z17" s="515">
        <f>Aprēķini!Y$194+Aprēķini!Y$190*'Jutīguma analīze_IIA'!$B17</f>
        <v>20950.164736531511</v>
      </c>
      <c r="AA17" s="515">
        <f>Aprēķini!Z$194+Aprēķini!Z$190*'Jutīguma analīze_IIA'!$B17</f>
        <v>20493.717288289485</v>
      </c>
      <c r="AB17" s="515">
        <f>Aprēķini!AA$194+Aprēķini!AA$190*'Jutīguma analīze_IIA'!$B17</f>
        <v>20767.309749819826</v>
      </c>
      <c r="AC17" s="515">
        <f>Aprēķini!AB$194+Aprēķini!AB$190*'Jutīguma analīze_IIA'!$B17</f>
        <v>20648.608392775113</v>
      </c>
      <c r="AD17" s="515">
        <f>Aprēķini!AC$194+Aprēķini!AC$190*'Jutīguma analīze_IIA'!$B17</f>
        <v>24937.875896434442</v>
      </c>
      <c r="AE17" s="515">
        <f>Aprēķini!AD$194+Aprēķini!AD$190*'Jutīguma analīze_IIA'!$B17</f>
        <v>44521.017264543858</v>
      </c>
      <c r="AF17" s="515">
        <f>Aprēķini!AE$194+Aprēķini!AE$190*'Jutīguma analīze_IIA'!$B17</f>
        <v>44579.13577967025</v>
      </c>
      <c r="AG17" s="515">
        <f>Aprēķini!AF$194+Aprēķini!AF$190*'Jutīguma analīze_IIA'!$B17</f>
        <v>35056.876175105317</v>
      </c>
      <c r="AH17" s="515">
        <f>Aprēķini!AG$194+Aprēķini!AG$190*'Jutīguma analīze_IIA'!$B17</f>
        <v>611119.18439761002</v>
      </c>
      <c r="AI17" s="515">
        <f>Aprēķini!AH$194+Aprēķini!AH$190*'Jutīguma analīze_IIA'!$B17</f>
        <v>35039.59262011484</v>
      </c>
    </row>
    <row r="18" spans="1:35" ht="12.75" x14ac:dyDescent="0.2">
      <c r="A18" s="639"/>
      <c r="B18" s="115">
        <v>2.5000000000000001E-2</v>
      </c>
      <c r="C18" s="515">
        <f>Aprēķini!B$194+Aprēķini!B$190*'Jutīguma analīze_IIA'!$B18</f>
        <v>-591813.80000000005</v>
      </c>
      <c r="D18" s="515">
        <f>Aprēķini!C$194+Aprēķini!C$190*'Jutīguma analīze_IIA'!$B18</f>
        <v>-350720.66395739687</v>
      </c>
      <c r="E18" s="515">
        <f>Aprēķini!D$194+Aprēķini!D$190*'Jutīguma analīze_IIA'!$B18</f>
        <v>-520483.47580485069</v>
      </c>
      <c r="F18" s="515">
        <f>Aprēķini!E$194+Aprēķini!E$190*'Jutīguma analīze_IIA'!$B18</f>
        <v>19765.466015685754</v>
      </c>
      <c r="G18" s="515">
        <f>Aprēķini!F$194+Aprēķini!F$190*'Jutīguma analīze_IIA'!$B18</f>
        <v>19620.313961707812</v>
      </c>
      <c r="H18" s="515">
        <f>Aprēķini!G$194+Aprēķini!G$190*'Jutīguma analīze_IIA'!$B18</f>
        <v>20069.165486669055</v>
      </c>
      <c r="I18" s="515">
        <f>Aprēķini!H$194+Aprēķini!H$190*'Jutīguma analīze_IIA'!$B18</f>
        <v>19992.545043658985</v>
      </c>
      <c r="J18" s="515">
        <f>Aprēķini!I$194+Aprēķini!I$190*'Jutīguma analīze_IIA'!$B18</f>
        <v>19579.462352553088</v>
      </c>
      <c r="K18" s="515">
        <f>Aprēķini!J$194+Aprēķini!J$190*'Jutīguma analīze_IIA'!$B18</f>
        <v>23792.548807461568</v>
      </c>
      <c r="L18" s="515">
        <f>Aprēķini!K$194+Aprēķini!K$190*'Jutīguma analīze_IIA'!$B18</f>
        <v>24093.264123514473</v>
      </c>
      <c r="M18" s="515">
        <f>Aprēķini!L$194+Aprēķini!L$190*'Jutīguma analīze_IIA'!$B18</f>
        <v>23959.97900306568</v>
      </c>
      <c r="N18" s="515">
        <f>Aprēķini!M$194+Aprēķini!M$190*'Jutīguma analīze_IIA'!$B18</f>
        <v>24182.217563916274</v>
      </c>
      <c r="O18" s="515">
        <f>Aprēķini!N$194+Aprēķini!N$190*'Jutīguma analīze_IIA'!$B18</f>
        <v>24047.321798907531</v>
      </c>
      <c r="P18" s="515">
        <f>Aprēķini!O$194+Aprēķini!O$190*'Jutīguma analīze_IIA'!$B18</f>
        <v>18987.777712843214</v>
      </c>
      <c r="Q18" s="515">
        <f>Aprēķini!P$194+Aprēķini!P$190*'Jutīguma analīze_IIA'!$B18</f>
        <v>18905.565164973355</v>
      </c>
      <c r="R18" s="515">
        <f>Aprēķini!Q$194+Aprēķini!Q$190*'Jutīguma analīze_IIA'!$B18</f>
        <v>21667.54206750049</v>
      </c>
      <c r="S18" s="515">
        <f>Aprēķini!R$194+Aprēķini!R$190*'Jutīguma analīze_IIA'!$B18</f>
        <v>19336.054058147427</v>
      </c>
      <c r="T18" s="515">
        <f>Aprēķini!S$194+Aprēķini!S$190*'Jutīguma analīze_IIA'!$B18</f>
        <v>23753.929739289415</v>
      </c>
      <c r="U18" s="515">
        <f>Aprēķini!T$194+Aprēķini!T$190*'Jutīguma analīze_IIA'!$B18</f>
        <v>18887.923592649528</v>
      </c>
      <c r="V18" s="515">
        <f>Aprēķini!U$194+Aprēķini!U$190*'Jutīguma analīze_IIA'!$B18</f>
        <v>19020.187363480189</v>
      </c>
      <c r="W18" s="515">
        <f>Aprēķini!V$194+Aprēķini!V$190*'Jutīguma analīze_IIA'!$B18</f>
        <v>18475.406464419568</v>
      </c>
      <c r="X18" s="515">
        <f>Aprēķini!W$194+Aprēķini!W$190*'Jutīguma analīze_IIA'!$B18</f>
        <v>18402.146553950552</v>
      </c>
      <c r="Y18" s="515">
        <f>Aprēķini!X$194+Aprēķini!X$190*'Jutīguma analīze_IIA'!$B18</f>
        <v>21171.465449318421</v>
      </c>
      <c r="Z18" s="515">
        <f>Aprēķini!Y$194+Aprēķini!Y$190*'Jutīguma analīze_IIA'!$B18</f>
        <v>21098.205538849761</v>
      </c>
      <c r="AA18" s="515">
        <f>Aprēķini!Z$194+Aprēķini!Z$190*'Jutīguma analīze_IIA'!$B18</f>
        <v>20667.811302521353</v>
      </c>
      <c r="AB18" s="515">
        <f>Aprēķini!AA$194+Aprēķini!AA$190*'Jutīguma analīze_IIA'!$B18</f>
        <v>20950.075073351691</v>
      </c>
      <c r="AC18" s="515">
        <f>Aprēķini!AB$194+Aprēķini!AB$190*'Jutīguma analīze_IIA'!$B18</f>
        <v>20796.727763120667</v>
      </c>
      <c r="AD18" s="515">
        <f>Aprēķini!AC$194+Aprēķini!AC$190*'Jutīguma analīze_IIA'!$B18</f>
        <v>24132.111959767397</v>
      </c>
      <c r="AE18" s="515">
        <f>Aprēķini!AD$194+Aprēķini!AD$190*'Jutīguma analīze_IIA'!$B18</f>
        <v>41250.087309805873</v>
      </c>
      <c r="AF18" s="515">
        <f>Aprēķini!AE$194+Aprēķini!AE$190*'Jutīguma analīze_IIA'!$B18</f>
        <v>41221.492731932361</v>
      </c>
      <c r="AG18" s="515">
        <f>Aprēķini!AF$194+Aprēķini!AF$190*'Jutīguma analīze_IIA'!$B18</f>
        <v>31882.391291035801</v>
      </c>
      <c r="AH18" s="515">
        <f>Aprēķini!AG$194+Aprēķini!AG$190*'Jutīguma analīze_IIA'!$B18</f>
        <v>594185.36796704063</v>
      </c>
      <c r="AI18" s="515">
        <f>Aprēķini!AH$194+Aprēķini!AH$190*'Jutīguma analīze_IIA'!$B18</f>
        <v>31778.394643045423</v>
      </c>
    </row>
    <row r="19" spans="1:35" ht="12.75" x14ac:dyDescent="0.2">
      <c r="A19" s="639"/>
      <c r="B19" s="115">
        <v>0.01</v>
      </c>
      <c r="C19" s="515">
        <f>Aprēķini!B$194+Aprēķini!B$190*'Jutīguma analīze_IIA'!$B19</f>
        <v>-591813.80000000005</v>
      </c>
      <c r="D19" s="515">
        <f>Aprēķini!C$194+Aprēķini!C$190*'Jutīguma analīze_IIA'!$B19</f>
        <v>-350720.66395739687</v>
      </c>
      <c r="E19" s="515">
        <f>Aprēķini!D$194+Aprēķini!D$190*'Jutīguma analīze_IIA'!$B19</f>
        <v>-520535.49476174969</v>
      </c>
      <c r="F19" s="515">
        <f>Aprēķini!E$194+Aprēķini!E$190*'Jutīguma analīze_IIA'!$B19</f>
        <v>19454.490772675184</v>
      </c>
      <c r="G19" s="515">
        <f>Aprēķini!F$194+Aprēķini!F$190*'Jutīguma analīze_IIA'!$B19</f>
        <v>19300.054522644587</v>
      </c>
      <c r="H19" s="515">
        <f>Aprēķini!G$194+Aprēķini!G$190*'Jutīguma analīze_IIA'!$B19</f>
        <v>19730.587038759637</v>
      </c>
      <c r="I19" s="515">
        <f>Aprēķini!H$194+Aprēķini!H$190*'Jutīguma analīze_IIA'!$B19</f>
        <v>19654.269699326596</v>
      </c>
      <c r="J19" s="515">
        <f>Aprēķini!I$194+Aprēķini!I$190*'Jutīguma analīze_IIA'!$B19</f>
        <v>19246.413364208885</v>
      </c>
      <c r="K19" s="515">
        <f>Aprēķini!J$194+Aprēķini!J$190*'Jutīguma analīze_IIA'!$B19</f>
        <v>23397.042821749241</v>
      </c>
      <c r="L19" s="515">
        <f>Aprēķini!K$194+Aprēķini!K$190*'Jutīguma analīze_IIA'!$B19</f>
        <v>23692.555352222156</v>
      </c>
      <c r="M19" s="515">
        <f>Aprēķini!L$194+Aprēķini!L$190*'Jutīguma analīze_IIA'!$B19</f>
        <v>23528.053518293396</v>
      </c>
      <c r="N19" s="515">
        <f>Aprēķini!M$194+Aprēķini!M$190*'Jutīguma analīze_IIA'!$B19</f>
        <v>23713.872580084029</v>
      </c>
      <c r="O19" s="515">
        <f>Aprēķini!N$194+Aprēķini!N$190*'Jutīguma analīze_IIA'!$B19</f>
        <v>23547.783672003512</v>
      </c>
      <c r="P19" s="515">
        <f>Aprēķini!O$194+Aprēķini!O$190*'Jutīguma analīze_IIA'!$B19</f>
        <v>18561.078584059116</v>
      </c>
      <c r="Q19" s="515">
        <f>Aprēķini!P$194+Aprēķini!P$190*'Jutīguma analīze_IIA'!$B19</f>
        <v>18478.866036189258</v>
      </c>
      <c r="R19" s="515">
        <f>Aprēķini!Q$194+Aprēķini!Q$190*'Jutīguma analīze_IIA'!$B19</f>
        <v>21199.220654076431</v>
      </c>
      <c r="S19" s="515">
        <f>Aprēķini!R$194+Aprēķini!R$190*'Jutīguma analīze_IIA'!$B19</f>
        <v>19284.356188062149</v>
      </c>
      <c r="T19" s="515">
        <f>Aprēķini!S$194+Aprēķini!S$190*'Jutīguma analīze_IIA'!$B19</f>
        <v>23644.718382925919</v>
      </c>
      <c r="U19" s="515">
        <f>Aprēķini!T$194+Aprēķini!T$190*'Jutīguma analīze_IIA'!$B19</f>
        <v>18857.06043529242</v>
      </c>
      <c r="V19" s="515">
        <f>Aprēķini!U$194+Aprēķini!U$190*'Jutīguma analīze_IIA'!$B19</f>
        <v>18994.526991703075</v>
      </c>
      <c r="W19" s="515">
        <f>Aprēķini!V$194+Aprēķini!V$190*'Jutīguma analīze_IIA'!$B19</f>
        <v>18574.612946562316</v>
      </c>
      <c r="X19" s="515">
        <f>Aprēķini!W$194+Aprēķini!W$190*'Jutīguma analīze_IIA'!$B19</f>
        <v>18511.758607253287</v>
      </c>
      <c r="Y19" s="515">
        <f>Aprēķini!X$194+Aprēķini!X$190*'Jutīguma analīze_IIA'!$B19</f>
        <v>21249.884359549382</v>
      </c>
      <c r="Z19" s="515">
        <f>Aprēķini!Y$194+Aprēķini!Y$190*'Jutīguma analīze_IIA'!$B19</f>
        <v>21187.030020240709</v>
      </c>
      <c r="AA19" s="515">
        <f>Aprēķini!Z$194+Aprēķini!Z$190*'Jutīguma analīze_IIA'!$B19</f>
        <v>20772.267711060478</v>
      </c>
      <c r="AB19" s="515">
        <f>Aprēķini!AA$194+Aprēķini!AA$190*'Jutīguma analīze_IIA'!$B19</f>
        <v>21059.734267470809</v>
      </c>
      <c r="AC19" s="515">
        <f>Aprēķini!AB$194+Aprēķini!AB$190*'Jutīguma analīze_IIA'!$B19</f>
        <v>20885.599385327998</v>
      </c>
      <c r="AD19" s="515">
        <f>Aprēķini!AC$194+Aprēķini!AC$190*'Jutīguma analīze_IIA'!$B19</f>
        <v>23648.653597767167</v>
      </c>
      <c r="AE19" s="515">
        <f>Aprēķini!AD$194+Aprēķini!AD$190*'Jutīguma analīze_IIA'!$B19</f>
        <v>39287.529336963082</v>
      </c>
      <c r="AF19" s="515">
        <f>Aprēķini!AE$194+Aprēķini!AE$190*'Jutīguma analīze_IIA'!$B19</f>
        <v>39206.90690328963</v>
      </c>
      <c r="AG19" s="515">
        <f>Aprēķini!AF$194+Aprēķini!AF$190*'Jutīguma analīze_IIA'!$B19</f>
        <v>29977.700360594092</v>
      </c>
      <c r="AH19" s="515">
        <f>Aprēķini!AG$194+Aprēķini!AG$190*'Jutīguma analīze_IIA'!$B19</f>
        <v>584025.07810869894</v>
      </c>
      <c r="AI19" s="515">
        <f>Aprēķini!AH$194+Aprēķini!AH$190*'Jutīguma analīze_IIA'!$B19</f>
        <v>29821.675856803773</v>
      </c>
    </row>
    <row r="20" spans="1:35" ht="12.75" x14ac:dyDescent="0.2">
      <c r="A20" s="639"/>
      <c r="B20" s="116">
        <v>0</v>
      </c>
      <c r="C20" s="583">
        <f>Aprēķini!B$194+Aprēķini!B$190*'Jutīguma analīze_IIA'!$B20</f>
        <v>-591813.80000000005</v>
      </c>
      <c r="D20" s="583">
        <f>Aprēķini!C$194+Aprēķini!C$190*'Jutīguma analīze_IIA'!$B20</f>
        <v>-350720.66395739687</v>
      </c>
      <c r="E20" s="583">
        <f>Aprēķini!D$194+Aprēķini!D$190*'Jutīguma analīze_IIA'!$B20</f>
        <v>-520570.17406634899</v>
      </c>
      <c r="F20" s="583">
        <f>Aprēķini!E$194+Aprēķini!E$190*'Jutīguma analīze_IIA'!$B20</f>
        <v>19247.173944001472</v>
      </c>
      <c r="G20" s="583">
        <f>Aprēķini!F$194+Aprēķini!F$190*'Jutīguma analīze_IIA'!$B20</f>
        <v>19086.548229935772</v>
      </c>
      <c r="H20" s="583">
        <f>Aprēķini!G$194+Aprēķini!G$190*'Jutīguma analīze_IIA'!$B20</f>
        <v>19504.868073486694</v>
      </c>
      <c r="I20" s="583">
        <f>Aprēķini!H$194+Aprēķini!H$190*'Jutīguma analīze_IIA'!$B20</f>
        <v>19428.752803105002</v>
      </c>
      <c r="J20" s="583">
        <f>Aprēķini!I$194+Aprēķini!I$190*'Jutīguma analīze_IIA'!$B20</f>
        <v>19024.380705312749</v>
      </c>
      <c r="K20" s="583">
        <f>Aprēķini!J$194+Aprēķini!J$190*'Jutīguma analīze_IIA'!$B20</f>
        <v>23133.372164607688</v>
      </c>
      <c r="L20" s="583">
        <f>Aprēķini!K$194+Aprēķini!K$190*'Jutīguma analīze_IIA'!$B20</f>
        <v>23425.416171360608</v>
      </c>
      <c r="M20" s="583">
        <f>Aprēķini!L$194+Aprēķini!L$190*'Jutīguma analīze_IIA'!$B20</f>
        <v>23240.103195111871</v>
      </c>
      <c r="N20" s="583">
        <f>Aprēķini!M$194+Aprēķini!M$190*'Jutīguma analīze_IIA'!$B20</f>
        <v>23401.642590862532</v>
      </c>
      <c r="O20" s="583">
        <f>Aprēķini!N$194+Aprēķini!N$190*'Jutīguma analīze_IIA'!$B20</f>
        <v>23214.758254067499</v>
      </c>
      <c r="P20" s="583">
        <f>Aprēķini!O$194+Aprēķini!O$190*'Jutīguma analīze_IIA'!$B20</f>
        <v>18276.612498203049</v>
      </c>
      <c r="Q20" s="583">
        <f>Aprēķini!P$194+Aprēķini!P$190*'Jutīguma analīze_IIA'!$B20</f>
        <v>18194.399950333191</v>
      </c>
      <c r="R20" s="583">
        <f>Aprēķini!Q$194+Aprēķini!Q$190*'Jutīguma analīze_IIA'!$B20</f>
        <v>20887.006378460395</v>
      </c>
      <c r="S20" s="583">
        <f>Aprēķini!R$194+Aprēķini!R$190*'Jutīguma analīze_IIA'!$B20</f>
        <v>19249.890941338632</v>
      </c>
      <c r="T20" s="583">
        <f>Aprēķini!S$194+Aprēķini!S$190*'Jutīguma analīze_IIA'!$B20</f>
        <v>23571.910812016918</v>
      </c>
      <c r="U20" s="583">
        <f>Aprēķini!T$194+Aprēķini!T$190*'Jutīguma analīze_IIA'!$B20</f>
        <v>18836.484997054347</v>
      </c>
      <c r="V20" s="583">
        <f>Aprēķini!U$194+Aprēķini!U$190*'Jutīguma analīze_IIA'!$B20</f>
        <v>18977.420077184997</v>
      </c>
      <c r="W20" s="583">
        <f>Aprēķini!V$194+Aprēķini!V$190*'Jutīguma analīze_IIA'!$B20</f>
        <v>18640.750601324151</v>
      </c>
      <c r="X20" s="583">
        <f>Aprēķini!W$194+Aprēķini!W$190*'Jutīguma analīze_IIA'!$B20</f>
        <v>18584.833309455113</v>
      </c>
      <c r="Y20" s="583">
        <f>Aprēķini!X$194+Aprēķini!X$190*'Jutīguma analīze_IIA'!$B20</f>
        <v>21302.163633036693</v>
      </c>
      <c r="Z20" s="583">
        <f>Aprēķini!Y$194+Aprēķini!Y$190*'Jutīguma analīze_IIA'!$B20</f>
        <v>21246.246341168007</v>
      </c>
      <c r="AA20" s="583">
        <f>Aprēķini!Z$194+Aprēķini!Z$190*'Jutīguma analīze_IIA'!$B20</f>
        <v>20841.905316753226</v>
      </c>
      <c r="AB20" s="583">
        <f>Aprēķini!AA$194+Aprēķini!AA$190*'Jutīguma analīze_IIA'!$B20</f>
        <v>21132.840396883556</v>
      </c>
      <c r="AC20" s="583">
        <f>Aprēķini!AB$194+Aprēķini!AB$190*'Jutīguma analīze_IIA'!$B20</f>
        <v>20944.847133466217</v>
      </c>
      <c r="AD20" s="583">
        <f>Aprēķini!AC$194+Aprēķini!AC$190*'Jutīguma analīze_IIA'!$B20</f>
        <v>23326.348023100349</v>
      </c>
      <c r="AE20" s="583">
        <f>Aprēķini!AD$194+Aprēķini!AD$190*'Jutīguma analīze_IIA'!$B20</f>
        <v>37979.157355067888</v>
      </c>
      <c r="AF20" s="583">
        <f>Aprēķini!AE$194+Aprēķini!AE$190*'Jutīguma analīze_IIA'!$B20</f>
        <v>37863.849684194473</v>
      </c>
      <c r="AG20" s="583">
        <f>Aprēķini!AF$194+Aprēķini!AF$190*'Jutīguma analīze_IIA'!$B20</f>
        <v>28707.906406966285</v>
      </c>
      <c r="AH20" s="583">
        <f>Aprēķini!AG$194+Aprēķini!AG$190*'Jutīguma analīze_IIA'!$B20</f>
        <v>577251.55153647112</v>
      </c>
      <c r="AI20" s="583">
        <f>Aprēķini!AH$194+Aprēķini!AH$190*'Jutīguma analīze_IIA'!$B20</f>
        <v>28517.196665976007</v>
      </c>
    </row>
    <row r="21" spans="1:35" ht="12.75" x14ac:dyDescent="0.2">
      <c r="A21" s="639"/>
      <c r="B21" s="115">
        <v>-0.01</v>
      </c>
      <c r="C21" s="515">
        <f>Aprēķini!B$194+Aprēķini!B$190*'Jutīguma analīze_IIA'!$B21</f>
        <v>-591813.80000000005</v>
      </c>
      <c r="D21" s="515">
        <f>Aprēķini!C$194+Aprēķini!C$190*'Jutīguma analīze_IIA'!$B21</f>
        <v>-350720.66395739687</v>
      </c>
      <c r="E21" s="515">
        <f>Aprēķini!D$194+Aprēķini!D$190*'Jutīguma analīze_IIA'!$B21</f>
        <v>-520604.85337094829</v>
      </c>
      <c r="F21" s="515">
        <f>Aprēķini!E$194+Aprēķini!E$190*'Jutīguma analīze_IIA'!$B21</f>
        <v>19039.857115327759</v>
      </c>
      <c r="G21" s="515">
        <f>Aprēķini!F$194+Aprēķini!F$190*'Jutīguma analīze_IIA'!$B21</f>
        <v>18873.041937226957</v>
      </c>
      <c r="H21" s="515">
        <f>Aprēķini!G$194+Aprēķini!G$190*'Jutīguma analīze_IIA'!$B21</f>
        <v>19279.149108213751</v>
      </c>
      <c r="I21" s="515">
        <f>Aprēķini!H$194+Aprēķini!H$190*'Jutīguma analīze_IIA'!$B21</f>
        <v>19203.235906883408</v>
      </c>
      <c r="J21" s="515">
        <f>Aprēķini!I$194+Aprēķini!I$190*'Jutīguma analīze_IIA'!$B21</f>
        <v>18802.348046416613</v>
      </c>
      <c r="K21" s="515">
        <f>Aprēķini!J$194+Aprēķini!J$190*'Jutīguma analīze_IIA'!$B21</f>
        <v>22869.701507466136</v>
      </c>
      <c r="L21" s="515">
        <f>Aprēķini!K$194+Aprēķini!K$190*'Jutīguma analīze_IIA'!$B21</f>
        <v>23158.27699049906</v>
      </c>
      <c r="M21" s="515">
        <f>Aprēķini!L$194+Aprēķini!L$190*'Jutīguma analīze_IIA'!$B21</f>
        <v>22952.152871930346</v>
      </c>
      <c r="N21" s="515">
        <f>Aprēķini!M$194+Aprēķini!M$190*'Jutīguma analīze_IIA'!$B21</f>
        <v>23089.412601641034</v>
      </c>
      <c r="O21" s="515">
        <f>Aprēķini!N$194+Aprēķini!N$190*'Jutīguma analīze_IIA'!$B21</f>
        <v>22881.732836131487</v>
      </c>
      <c r="P21" s="515">
        <f>Aprēķini!O$194+Aprēķini!O$190*'Jutīguma analīze_IIA'!$B21</f>
        <v>17992.146412346981</v>
      </c>
      <c r="Q21" s="515">
        <f>Aprēķini!P$194+Aprēķini!P$190*'Jutīguma analīze_IIA'!$B21</f>
        <v>17909.933864477123</v>
      </c>
      <c r="R21" s="515">
        <f>Aprēķini!Q$194+Aprēķini!Q$190*'Jutīguma analīze_IIA'!$B21</f>
        <v>20574.79210284436</v>
      </c>
      <c r="S21" s="515">
        <f>Aprēķini!R$194+Aprēķini!R$190*'Jutīguma analīze_IIA'!$B21</f>
        <v>19215.425694615114</v>
      </c>
      <c r="T21" s="515">
        <f>Aprēķini!S$194+Aprēķini!S$190*'Jutīguma analīze_IIA'!$B21</f>
        <v>23499.103241107918</v>
      </c>
      <c r="U21" s="515">
        <f>Aprēķini!T$194+Aprēķini!T$190*'Jutīguma analīze_IIA'!$B21</f>
        <v>18815.909558816275</v>
      </c>
      <c r="V21" s="515">
        <f>Aprēķini!U$194+Aprēķini!U$190*'Jutīguma analīze_IIA'!$B21</f>
        <v>18960.31316266692</v>
      </c>
      <c r="W21" s="515">
        <f>Aprēķini!V$194+Aprēķini!V$190*'Jutīguma analīze_IIA'!$B21</f>
        <v>18706.888256085986</v>
      </c>
      <c r="X21" s="515">
        <f>Aprēķini!W$194+Aprēķini!W$190*'Jutīguma analīze_IIA'!$B21</f>
        <v>18657.908011656938</v>
      </c>
      <c r="Y21" s="515">
        <f>Aprēķini!X$194+Aprēķini!X$190*'Jutīguma analīze_IIA'!$B21</f>
        <v>21354.442906524004</v>
      </c>
      <c r="Z21" s="515">
        <f>Aprēķini!Y$194+Aprēķini!Y$190*'Jutīguma analīze_IIA'!$B21</f>
        <v>21305.462662095306</v>
      </c>
      <c r="AA21" s="515">
        <f>Aprēķini!Z$194+Aprēķini!Z$190*'Jutīguma analīze_IIA'!$B21</f>
        <v>20911.542922445973</v>
      </c>
      <c r="AB21" s="515">
        <f>Aprēķini!AA$194+Aprēķini!AA$190*'Jutīguma analīze_IIA'!$B21</f>
        <v>21205.946526296302</v>
      </c>
      <c r="AC21" s="515">
        <f>Aprēķini!AB$194+Aprēķini!AB$190*'Jutīguma analīze_IIA'!$B21</f>
        <v>21004.094881604437</v>
      </c>
      <c r="AD21" s="515">
        <f>Aprēķini!AC$194+Aprēķini!AC$190*'Jutīguma analīze_IIA'!$B21</f>
        <v>23004.042448433531</v>
      </c>
      <c r="AE21" s="515">
        <f>Aprēķini!AD$194+Aprēķini!AD$190*'Jutīguma analīze_IIA'!$B21</f>
        <v>36670.785373172694</v>
      </c>
      <c r="AF21" s="515">
        <f>Aprēķini!AE$194+Aprēķini!AE$190*'Jutīguma analīze_IIA'!$B21</f>
        <v>36520.792465099315</v>
      </c>
      <c r="AG21" s="515">
        <f>Aprēķini!AF$194+Aprēķini!AF$190*'Jutīguma analīze_IIA'!$B21</f>
        <v>27438.112453338479</v>
      </c>
      <c r="AH21" s="515">
        <f>Aprēķini!AG$194+Aprēķini!AG$190*'Jutīguma analīze_IIA'!$B21</f>
        <v>570478.02496424329</v>
      </c>
      <c r="AI21" s="515">
        <f>Aprēķini!AH$194+Aprēķini!AH$190*'Jutīguma analīze_IIA'!$B21</f>
        <v>27212.717475148242</v>
      </c>
    </row>
    <row r="22" spans="1:35" ht="12.75" x14ac:dyDescent="0.2">
      <c r="A22" s="639"/>
      <c r="B22" s="115">
        <v>-2.5000000000000001E-2</v>
      </c>
      <c r="C22" s="515">
        <f>Aprēķini!B$194+Aprēķini!B$190*'Jutīguma analīze_IIA'!$B22</f>
        <v>-591813.80000000005</v>
      </c>
      <c r="D22" s="515">
        <f>Aprēķini!C$194+Aprēķini!C$190*'Jutīguma analīze_IIA'!$B22</f>
        <v>-350720.66395739687</v>
      </c>
      <c r="E22" s="515">
        <f>Aprēķini!D$194+Aprēķini!D$190*'Jutīguma analīze_IIA'!$B22</f>
        <v>-520656.87232784729</v>
      </c>
      <c r="F22" s="515">
        <f>Aprēķini!E$194+Aprēķini!E$190*'Jutīguma analīze_IIA'!$B22</f>
        <v>18728.88187231719</v>
      </c>
      <c r="G22" s="515">
        <f>Aprēķini!F$194+Aprēķini!F$190*'Jutīguma analīze_IIA'!$B22</f>
        <v>18552.782498163731</v>
      </c>
      <c r="H22" s="515">
        <f>Aprēķini!G$194+Aprēķini!G$190*'Jutīguma analīze_IIA'!$B22</f>
        <v>18940.570660304333</v>
      </c>
      <c r="I22" s="515">
        <f>Aprēķini!H$194+Aprēķini!H$190*'Jutīguma analīze_IIA'!$B22</f>
        <v>18864.960562551019</v>
      </c>
      <c r="J22" s="515">
        <f>Aprēķini!I$194+Aprēķini!I$190*'Jutīguma analīze_IIA'!$B22</f>
        <v>18469.299058072411</v>
      </c>
      <c r="K22" s="515">
        <f>Aprēķini!J$194+Aprēķini!J$190*'Jutīguma analīze_IIA'!$B22</f>
        <v>22474.195521753809</v>
      </c>
      <c r="L22" s="515">
        <f>Aprēķini!K$194+Aprēķini!K$190*'Jutīguma analīze_IIA'!$B22</f>
        <v>22757.568219206743</v>
      </c>
      <c r="M22" s="515">
        <f>Aprēķini!L$194+Aprēķini!L$190*'Jutīguma analīze_IIA'!$B22</f>
        <v>22520.227387158062</v>
      </c>
      <c r="N22" s="515">
        <f>Aprēķini!M$194+Aprēķini!M$190*'Jutīguma analīze_IIA'!$B22</f>
        <v>22621.067617808789</v>
      </c>
      <c r="O22" s="515">
        <f>Aprēķini!N$194+Aprēķini!N$190*'Jutīguma analīze_IIA'!$B22</f>
        <v>22382.194709227468</v>
      </c>
      <c r="P22" s="515">
        <f>Aprēķini!O$194+Aprēķini!O$190*'Jutīguma analīze_IIA'!$B22</f>
        <v>17565.447283562884</v>
      </c>
      <c r="Q22" s="515">
        <f>Aprēķini!P$194+Aprēķini!P$190*'Jutīguma analīze_IIA'!$B22</f>
        <v>17483.234735693026</v>
      </c>
      <c r="R22" s="515">
        <f>Aprēķini!Q$194+Aprēķini!Q$190*'Jutīguma analīze_IIA'!$B22</f>
        <v>20106.470689420301</v>
      </c>
      <c r="S22" s="515">
        <f>Aprēķini!R$194+Aprēķini!R$190*'Jutīguma analīze_IIA'!$B22</f>
        <v>19163.727824529837</v>
      </c>
      <c r="T22" s="515">
        <f>Aprēķini!S$194+Aprēķini!S$190*'Jutīguma analīze_IIA'!$B22</f>
        <v>23389.891884744422</v>
      </c>
      <c r="U22" s="515">
        <f>Aprēķini!T$194+Aprēķini!T$190*'Jutīguma analīze_IIA'!$B22</f>
        <v>18785.046401459167</v>
      </c>
      <c r="V22" s="515">
        <f>Aprēķini!U$194+Aprēķini!U$190*'Jutīguma analīze_IIA'!$B22</f>
        <v>18934.652790889806</v>
      </c>
      <c r="W22" s="515">
        <f>Aprēķini!V$194+Aprēķini!V$190*'Jutīguma analīze_IIA'!$B22</f>
        <v>18806.094738228734</v>
      </c>
      <c r="X22" s="515">
        <f>Aprēķini!W$194+Aprēķini!W$190*'Jutīguma analīze_IIA'!$B22</f>
        <v>18767.520064959674</v>
      </c>
      <c r="Y22" s="515">
        <f>Aprēķini!X$194+Aprēķini!X$190*'Jutīguma analīze_IIA'!$B22</f>
        <v>21432.861816754965</v>
      </c>
      <c r="Z22" s="515">
        <f>Aprēķini!Y$194+Aprēķini!Y$190*'Jutīguma analīze_IIA'!$B22</f>
        <v>21394.287143486254</v>
      </c>
      <c r="AA22" s="515">
        <f>Aprēķini!Z$194+Aprēķini!Z$190*'Jutīguma analīze_IIA'!$B22</f>
        <v>21015.999330985098</v>
      </c>
      <c r="AB22" s="515">
        <f>Aprēķini!AA$194+Aprēķini!AA$190*'Jutīguma analīze_IIA'!$B22</f>
        <v>21315.60572041542</v>
      </c>
      <c r="AC22" s="515">
        <f>Aprēķini!AB$194+Aprēķini!AB$190*'Jutīguma analīze_IIA'!$B22</f>
        <v>21092.966503811767</v>
      </c>
      <c r="AD22" s="515">
        <f>Aprēķini!AC$194+Aprēķini!AC$190*'Jutīguma analīze_IIA'!$B22</f>
        <v>22520.5840864333</v>
      </c>
      <c r="AE22" s="515">
        <f>Aprēķini!AD$194+Aprēķini!AD$190*'Jutīguma analīze_IIA'!$B22</f>
        <v>34708.227400329903</v>
      </c>
      <c r="AF22" s="515">
        <f>Aprēķini!AE$194+Aprēķini!AE$190*'Jutīguma analīze_IIA'!$B22</f>
        <v>34506.206636456584</v>
      </c>
      <c r="AG22" s="515">
        <f>Aprēķini!AF$194+Aprēķini!AF$190*'Jutīguma analīze_IIA'!$B22</f>
        <v>25533.42152289677</v>
      </c>
      <c r="AH22" s="515">
        <f>Aprēķini!AG$194+Aprēķini!AG$190*'Jutīguma analīze_IIA'!$B22</f>
        <v>560317.73510590161</v>
      </c>
      <c r="AI22" s="515">
        <f>Aprēķini!AH$194+Aprēķini!AH$190*'Jutīguma analīze_IIA'!$B22</f>
        <v>25255.998688906591</v>
      </c>
    </row>
    <row r="23" spans="1:35" ht="12.75" x14ac:dyDescent="0.2">
      <c r="A23" s="639"/>
      <c r="B23" s="115">
        <v>-0.05</v>
      </c>
      <c r="C23" s="515">
        <f>Aprēķini!B$194+Aprēķini!B$190*'Jutīguma analīze_IIA'!$B23</f>
        <v>-591813.80000000005</v>
      </c>
      <c r="D23" s="515">
        <f>Aprēķini!C$194+Aprēķini!C$190*'Jutīguma analīze_IIA'!$B23</f>
        <v>-350720.66395739687</v>
      </c>
      <c r="E23" s="515">
        <f>Aprēķini!D$194+Aprēķini!D$190*'Jutīguma analīze_IIA'!$B23</f>
        <v>-520743.57058934559</v>
      </c>
      <c r="F23" s="515">
        <f>Aprēķini!E$194+Aprēķini!E$190*'Jutīguma analīze_IIA'!$B23</f>
        <v>18210.589800632912</v>
      </c>
      <c r="G23" s="515">
        <f>Aprēķini!F$194+Aprēķini!F$190*'Jutīguma analīze_IIA'!$B23</f>
        <v>18019.016766391695</v>
      </c>
      <c r="H23" s="515">
        <f>Aprēķini!G$194+Aprēķini!G$190*'Jutīguma analīze_IIA'!$B23</f>
        <v>18376.273247121972</v>
      </c>
      <c r="I23" s="515">
        <f>Aprēķini!H$194+Aprēķini!H$190*'Jutīguma analīze_IIA'!$B23</f>
        <v>18301.168321997036</v>
      </c>
      <c r="J23" s="515">
        <f>Aprēķini!I$194+Aprēķini!I$190*'Jutīguma analīze_IIA'!$B23</f>
        <v>17914.217410832069</v>
      </c>
      <c r="K23" s="515">
        <f>Aprēķini!J$194+Aprēķini!J$190*'Jutīguma analīze_IIA'!$B23</f>
        <v>21815.018878899929</v>
      </c>
      <c r="L23" s="515">
        <f>Aprēķini!K$194+Aprēķini!K$190*'Jutīguma analīze_IIA'!$B23</f>
        <v>22089.720267052875</v>
      </c>
      <c r="M23" s="515">
        <f>Aprēķini!L$194+Aprēķini!L$190*'Jutīguma analīze_IIA'!$B23</f>
        <v>21800.351579204253</v>
      </c>
      <c r="N23" s="515">
        <f>Aprēķini!M$194+Aprēķini!M$190*'Jutīguma analīze_IIA'!$B23</f>
        <v>21840.492644755046</v>
      </c>
      <c r="O23" s="515">
        <f>Aprēķini!N$194+Aprēķini!N$190*'Jutīguma analīze_IIA'!$B23</f>
        <v>21549.63116438744</v>
      </c>
      <c r="P23" s="515">
        <f>Aprēķini!O$194+Aprēķini!O$190*'Jutīguma analīze_IIA'!$B23</f>
        <v>16854.282068922719</v>
      </c>
      <c r="Q23" s="515">
        <f>Aprēķini!P$194+Aprēķini!P$190*'Jutīguma analīze_IIA'!$B23</f>
        <v>16772.069521052857</v>
      </c>
      <c r="R23" s="515">
        <f>Aprēķini!Q$194+Aprēķini!Q$190*'Jutīguma analīze_IIA'!$B23</f>
        <v>19325.93500038021</v>
      </c>
      <c r="S23" s="515">
        <f>Aprēķini!R$194+Aprēķini!R$190*'Jutīguma analīze_IIA'!$B23</f>
        <v>19077.564707721045</v>
      </c>
      <c r="T23" s="515">
        <f>Aprēķini!S$194+Aprēķini!S$190*'Jutīguma analīze_IIA'!$B23</f>
        <v>23207.872957471922</v>
      </c>
      <c r="U23" s="515">
        <f>Aprēķini!T$194+Aprēķini!T$190*'Jutīguma analīze_IIA'!$B23</f>
        <v>18733.607805863987</v>
      </c>
      <c r="V23" s="515">
        <f>Aprēķini!U$194+Aprēķini!U$190*'Jutīguma analīze_IIA'!$B23</f>
        <v>18891.885504594615</v>
      </c>
      <c r="W23" s="515">
        <f>Aprēķini!V$194+Aprēķini!V$190*'Jutīguma analīze_IIA'!$B23</f>
        <v>18971.438875133317</v>
      </c>
      <c r="X23" s="515">
        <f>Aprēķini!W$194+Aprēķini!W$190*'Jutīguma analīze_IIA'!$B23</f>
        <v>18950.206820464238</v>
      </c>
      <c r="Y23" s="515">
        <f>Aprēķini!X$194+Aprēķini!X$190*'Jutīguma analīze_IIA'!$B23</f>
        <v>21563.560000473241</v>
      </c>
      <c r="Z23" s="515">
        <f>Aprēķini!Y$194+Aprēķini!Y$190*'Jutīguma analīze_IIA'!$B23</f>
        <v>21542.327945804504</v>
      </c>
      <c r="AA23" s="515">
        <f>Aprēķini!Z$194+Aprēķini!Z$190*'Jutīguma analīze_IIA'!$B23</f>
        <v>21190.093345216967</v>
      </c>
      <c r="AB23" s="515">
        <f>Aprēķini!AA$194+Aprēķini!AA$190*'Jutīguma analīze_IIA'!$B23</f>
        <v>21498.371043947285</v>
      </c>
      <c r="AC23" s="515">
        <f>Aprēķini!AB$194+Aprēķini!AB$190*'Jutīguma analīze_IIA'!$B23</f>
        <v>21241.085874157321</v>
      </c>
      <c r="AD23" s="515">
        <f>Aprēķini!AC$194+Aprēķini!AC$190*'Jutīguma analīze_IIA'!$B23</f>
        <v>21714.820149766256</v>
      </c>
      <c r="AE23" s="515">
        <f>Aprēķini!AD$194+Aprēķini!AD$190*'Jutīguma analīze_IIA'!$B23</f>
        <v>31437.297445591921</v>
      </c>
      <c r="AF23" s="515">
        <f>Aprēķini!AE$194+Aprēķini!AE$190*'Jutīguma analīze_IIA'!$B23</f>
        <v>31148.563588718691</v>
      </c>
      <c r="AG23" s="515">
        <f>Aprēķini!AF$194+Aprēķini!AF$190*'Jutīguma analīze_IIA'!$B23</f>
        <v>22358.936638827257</v>
      </c>
      <c r="AH23" s="515">
        <f>Aprēķini!AG$194+Aprēķini!AG$190*'Jutīguma analīze_IIA'!$B23</f>
        <v>543383.91867533221</v>
      </c>
      <c r="AI23" s="515">
        <f>Aprēķini!AH$194+Aprēķini!AH$190*'Jutīguma analīze_IIA'!$B23</f>
        <v>21994.800711837172</v>
      </c>
    </row>
    <row r="24" spans="1:35" ht="12.75" x14ac:dyDescent="0.2">
      <c r="A24" s="639"/>
      <c r="B24" s="115">
        <v>-7.4999999999999997E-2</v>
      </c>
      <c r="C24" s="515">
        <f>Aprēķini!B$194+Aprēķini!B$190*'Jutīguma analīze_IIA'!$B24</f>
        <v>-591813.80000000005</v>
      </c>
      <c r="D24" s="515">
        <f>Aprēķini!C$194+Aprēķini!C$190*'Jutīguma analīze_IIA'!$B24</f>
        <v>-350720.66395739687</v>
      </c>
      <c r="E24" s="515">
        <f>Aprēķini!D$194+Aprēķini!D$190*'Jutīguma analīze_IIA'!$B24</f>
        <v>-520830.26885084389</v>
      </c>
      <c r="F24" s="515">
        <f>Aprēķini!E$194+Aprēķini!E$190*'Jutīguma analīze_IIA'!$B24</f>
        <v>17692.29772894863</v>
      </c>
      <c r="G24" s="515">
        <f>Aprēķini!F$194+Aprēķini!F$190*'Jutīguma analīze_IIA'!$B24</f>
        <v>17485.251034619654</v>
      </c>
      <c r="H24" s="515">
        <f>Aprēķini!G$194+Aprēķini!G$190*'Jutīguma analīze_IIA'!$B24</f>
        <v>17811.975833939614</v>
      </c>
      <c r="I24" s="515">
        <f>Aprēķini!H$194+Aprēķini!H$190*'Jutīguma analīze_IIA'!$B24</f>
        <v>17737.376081443053</v>
      </c>
      <c r="J24" s="515">
        <f>Aprēķini!I$194+Aprēķini!I$190*'Jutīguma analīze_IIA'!$B24</f>
        <v>17359.13576359173</v>
      </c>
      <c r="K24" s="515">
        <f>Aprēķini!J$194+Aprēķini!J$190*'Jutīguma analīze_IIA'!$B24</f>
        <v>21155.842236046054</v>
      </c>
      <c r="L24" s="515">
        <f>Aprēķini!K$194+Aprēķini!K$190*'Jutīguma analīze_IIA'!$B24</f>
        <v>21421.87231489901</v>
      </c>
      <c r="M24" s="515">
        <f>Aprēķini!L$194+Aprēķini!L$190*'Jutīguma analīze_IIA'!$B24</f>
        <v>21080.47577125044</v>
      </c>
      <c r="N24" s="515">
        <f>Aprēķini!M$194+Aprēķini!M$190*'Jutīguma analīze_IIA'!$B24</f>
        <v>21059.917671701307</v>
      </c>
      <c r="O24" s="515">
        <f>Aprēķini!N$194+Aprēķini!N$190*'Jutīguma analīze_IIA'!$B24</f>
        <v>20717.067619547408</v>
      </c>
      <c r="P24" s="515">
        <f>Aprēķini!O$194+Aprēķini!O$190*'Jutīguma analīze_IIA'!$B24</f>
        <v>16143.116854282556</v>
      </c>
      <c r="Q24" s="515">
        <f>Aprēķini!P$194+Aprēķini!P$190*'Jutīguma analīze_IIA'!$B24</f>
        <v>16060.904306412693</v>
      </c>
      <c r="R24" s="515">
        <f>Aprēķini!Q$194+Aprēķini!Q$190*'Jutīguma analīze_IIA'!$B24</f>
        <v>18545.399311340116</v>
      </c>
      <c r="S24" s="515">
        <f>Aprēķini!R$194+Aprēķini!R$190*'Jutīguma analīze_IIA'!$B24</f>
        <v>18991.40159091225</v>
      </c>
      <c r="T24" s="515">
        <f>Aprēķini!S$194+Aprēķini!S$190*'Jutīguma analīze_IIA'!$B24</f>
        <v>23025.854030199425</v>
      </c>
      <c r="U24" s="515">
        <f>Aprēķini!T$194+Aprēķini!T$190*'Jutīguma analīze_IIA'!$B24</f>
        <v>18682.169210268803</v>
      </c>
      <c r="V24" s="515">
        <f>Aprēķini!U$194+Aprēķini!U$190*'Jutīguma analīze_IIA'!$B24</f>
        <v>18849.118218299423</v>
      </c>
      <c r="W24" s="515">
        <f>Aprēķini!V$194+Aprēķini!V$190*'Jutīguma analīze_IIA'!$B24</f>
        <v>19136.783012037897</v>
      </c>
      <c r="X24" s="515">
        <f>Aprēķini!W$194+Aprēķini!W$190*'Jutīguma analīze_IIA'!$B24</f>
        <v>19132.893575968799</v>
      </c>
      <c r="Y24" s="515">
        <f>Aprēķini!X$194+Aprēķini!X$190*'Jutīguma analīze_IIA'!$B24</f>
        <v>21694.258184191513</v>
      </c>
      <c r="Z24" s="515">
        <f>Aprēķini!Y$194+Aprēķini!Y$190*'Jutīguma analīze_IIA'!$B24</f>
        <v>21690.36874812275</v>
      </c>
      <c r="AA24" s="515">
        <f>Aprēķini!Z$194+Aprēķini!Z$190*'Jutīguma analīze_IIA'!$B24</f>
        <v>21364.187359448839</v>
      </c>
      <c r="AB24" s="515">
        <f>Aprēķini!AA$194+Aprēķini!AA$190*'Jutīguma analīze_IIA'!$B24</f>
        <v>21681.13636747915</v>
      </c>
      <c r="AC24" s="515">
        <f>Aprēķini!AB$194+Aprēķini!AB$190*'Jutīguma analīze_IIA'!$B24</f>
        <v>21389.205244502871</v>
      </c>
      <c r="AD24" s="515">
        <f>Aprēķini!AC$194+Aprēķini!AC$190*'Jutīguma analīze_IIA'!$B24</f>
        <v>20909.056213099211</v>
      </c>
      <c r="AE24" s="515">
        <f>Aprēķini!AD$194+Aprēķini!AD$190*'Jutīguma analīze_IIA'!$B24</f>
        <v>28166.36749085394</v>
      </c>
      <c r="AF24" s="515">
        <f>Aprēķini!AE$194+Aprēķini!AE$190*'Jutīguma analīze_IIA'!$B24</f>
        <v>27790.920540980802</v>
      </c>
      <c r="AG24" s="515">
        <f>Aprēķini!AF$194+Aprēķini!AF$190*'Jutīguma analīze_IIA'!$B24</f>
        <v>19184.451754757742</v>
      </c>
      <c r="AH24" s="515">
        <f>Aprēķini!AG$194+Aprēķini!AG$190*'Jutīguma analīze_IIA'!$B24</f>
        <v>526450.1022447627</v>
      </c>
      <c r="AI24" s="515">
        <f>Aprēķini!AH$194+Aprēķini!AH$190*'Jutīguma analīze_IIA'!$B24</f>
        <v>18733.602734767755</v>
      </c>
    </row>
    <row r="25" spans="1:35" ht="12.75" x14ac:dyDescent="0.2">
      <c r="A25" s="640"/>
      <c r="B25" s="115">
        <v>-0.1</v>
      </c>
      <c r="C25" s="515">
        <f>Aprēķini!B$194+Aprēķini!B$190*'Jutīguma analīze_IIA'!$B25</f>
        <v>-591813.80000000005</v>
      </c>
      <c r="D25" s="515">
        <f>Aprēķini!C$194+Aprēķini!C$190*'Jutīguma analīze_IIA'!$B25</f>
        <v>-350720.66395739687</v>
      </c>
      <c r="E25" s="515">
        <f>Aprēķini!D$194+Aprēķini!D$190*'Jutīguma analīze_IIA'!$B25</f>
        <v>-520916.96711234219</v>
      </c>
      <c r="F25" s="515">
        <f>Aprēķini!E$194+Aprēķini!E$190*'Jutīguma analīze_IIA'!$B25</f>
        <v>17174.005657264348</v>
      </c>
      <c r="G25" s="515">
        <f>Aprēķini!F$194+Aprēķini!F$190*'Jutīguma analīze_IIA'!$B25</f>
        <v>16951.485302847614</v>
      </c>
      <c r="H25" s="515">
        <f>Aprēķini!G$194+Aprēķini!G$190*'Jutīguma analīze_IIA'!$B25</f>
        <v>17247.678420757253</v>
      </c>
      <c r="I25" s="515">
        <f>Aprēķini!H$194+Aprēķini!H$190*'Jutīguma analīze_IIA'!$B25</f>
        <v>17173.58384088907</v>
      </c>
      <c r="J25" s="515">
        <f>Aprēķini!I$194+Aprēķini!I$190*'Jutīguma analīze_IIA'!$B25</f>
        <v>16804.054116351388</v>
      </c>
      <c r="K25" s="515">
        <f>Aprēķini!J$194+Aprēķini!J$190*'Jutīguma analīze_IIA'!$B25</f>
        <v>20496.665593192174</v>
      </c>
      <c r="L25" s="515">
        <f>Aprēķini!K$194+Aprēķini!K$190*'Jutīguma analīze_IIA'!$B25</f>
        <v>20754.024362745142</v>
      </c>
      <c r="M25" s="515">
        <f>Aprēķini!L$194+Aprēķini!L$190*'Jutīguma analīze_IIA'!$B25</f>
        <v>20360.59996329663</v>
      </c>
      <c r="N25" s="515">
        <f>Aprēķini!M$194+Aprēķini!M$190*'Jutīguma analīze_IIA'!$B25</f>
        <v>20279.342698647564</v>
      </c>
      <c r="O25" s="515">
        <f>Aprēķini!N$194+Aprēķini!N$190*'Jutīguma analīze_IIA'!$B25</f>
        <v>19884.504074707376</v>
      </c>
      <c r="P25" s="515">
        <f>Aprēķini!O$194+Aprēķini!O$190*'Jutīguma analīze_IIA'!$B25</f>
        <v>15431.951639642391</v>
      </c>
      <c r="Q25" s="515">
        <f>Aprēķini!P$194+Aprēķini!P$190*'Jutīguma analīze_IIA'!$B25</f>
        <v>15349.739091772524</v>
      </c>
      <c r="R25" s="515">
        <f>Aprēķini!Q$194+Aprēķini!Q$190*'Jutīguma analīze_IIA'!$B25</f>
        <v>17764.863622300025</v>
      </c>
      <c r="S25" s="515">
        <f>Aprēķini!R$194+Aprēķini!R$190*'Jutīguma analīze_IIA'!$B25</f>
        <v>18905.238474103455</v>
      </c>
      <c r="T25" s="515">
        <f>Aprēķini!S$194+Aprēķini!S$190*'Jutīguma analīze_IIA'!$B25</f>
        <v>22843.835102926929</v>
      </c>
      <c r="U25" s="515">
        <f>Aprēķini!T$194+Aprēķini!T$190*'Jutīguma analīze_IIA'!$B25</f>
        <v>18630.730614673623</v>
      </c>
      <c r="V25" s="515">
        <f>Aprēķini!U$194+Aprēķini!U$190*'Jutīguma analīze_IIA'!$B25</f>
        <v>18806.350932004232</v>
      </c>
      <c r="W25" s="515">
        <f>Aprēķini!V$194+Aprēķini!V$190*'Jutīguma analīze_IIA'!$B25</f>
        <v>19302.12714894248</v>
      </c>
      <c r="X25" s="515">
        <f>Aprēķini!W$194+Aprēķini!W$190*'Jutīguma analīze_IIA'!$B25</f>
        <v>19315.580331473364</v>
      </c>
      <c r="Y25" s="515">
        <f>Aprēķini!X$194+Aprēķini!X$190*'Jutīguma analīze_IIA'!$B25</f>
        <v>21824.956367909785</v>
      </c>
      <c r="Z25" s="515">
        <f>Aprēķini!Y$194+Aprēķini!Y$190*'Jutīguma analīze_IIA'!$B25</f>
        <v>21838.409550440996</v>
      </c>
      <c r="AA25" s="515">
        <f>Aprēķini!Z$194+Aprēķini!Z$190*'Jutīguma analīze_IIA'!$B25</f>
        <v>21538.281373680711</v>
      </c>
      <c r="AB25" s="515">
        <f>Aprēķini!AA$194+Aprēķini!AA$190*'Jutīguma analīze_IIA'!$B25</f>
        <v>21863.901691011011</v>
      </c>
      <c r="AC25" s="515">
        <f>Aprēķini!AB$194+Aprēķini!AB$190*'Jutīguma analīze_IIA'!$B25</f>
        <v>21537.324614848425</v>
      </c>
      <c r="AD25" s="515">
        <f>Aprēķini!AC$194+Aprēķini!AC$190*'Jutīguma analīze_IIA'!$B25</f>
        <v>20103.292276432163</v>
      </c>
      <c r="AE25" s="515">
        <f>Aprēķini!AD$194+Aprēķini!AD$190*'Jutīguma analīze_IIA'!$B25</f>
        <v>24895.437536115955</v>
      </c>
      <c r="AF25" s="515">
        <f>Aprēķini!AE$194+Aprēķini!AE$190*'Jutīguma analīze_IIA'!$B25</f>
        <v>24433.277493242909</v>
      </c>
      <c r="AG25" s="515">
        <f>Aprēķini!AF$194+Aprēķini!AF$190*'Jutīguma analīze_IIA'!$B25</f>
        <v>16009.966870688228</v>
      </c>
      <c r="AH25" s="515">
        <f>Aprēķini!AG$194+Aprēķini!AG$190*'Jutīguma analīze_IIA'!$B25</f>
        <v>509516.28581419325</v>
      </c>
      <c r="AI25" s="515">
        <f>Aprēķini!AH$194+Aprēķini!AH$190*'Jutīguma analīze_IIA'!$B25</f>
        <v>15472.404757698336</v>
      </c>
    </row>
    <row r="26" spans="1:35" ht="12.75" x14ac:dyDescent="0.2">
      <c r="A26" s="113" t="s">
        <v>186</v>
      </c>
      <c r="B26" s="115">
        <v>0.1</v>
      </c>
      <c r="C26" s="515">
        <f>Aprēķini!B$246+Aprēķini!B$240*'Jutīguma analīze_IIA'!$B26</f>
        <v>-1242.5840000000001</v>
      </c>
      <c r="D26" s="515">
        <f>Aprēķini!C$246+Aprēķini!C$240*'Jutīguma analīze_IIA'!$B26</f>
        <v>-1642.7779573968703</v>
      </c>
      <c r="E26" s="515">
        <f>Aprēķini!D$246+Aprēķini!D$240*'Jutīguma analīze_IIA'!$B26</f>
        <v>1541.6239796442305</v>
      </c>
      <c r="F26" s="515">
        <f>Aprēķini!E$246+Aprēķini!E$240*'Jutīguma analīze_IIA'!$B26</f>
        <v>10442.705914071927</v>
      </c>
      <c r="G26" s="515">
        <f>Aprēķini!F$246+Aprēķini!F$240*'Jutīguma analīze_IIA'!$B26</f>
        <v>10383.877628690596</v>
      </c>
      <c r="H26" s="515">
        <f>Aprēķini!G$246+Aprēķini!G$240*'Jutīguma analīze_IIA'!$B26</f>
        <v>10964.226986216134</v>
      </c>
      <c r="I26" s="515">
        <f>Aprēķini!H$246+Aprēķini!H$240*'Jutīguma analīze_IIA'!$B26</f>
        <v>10925.993813654268</v>
      </c>
      <c r="J26" s="515">
        <f>Aprēķini!I$246+Aprēķini!I$240*'Jutīguma analīze_IIA'!$B26</f>
        <v>10526.682130940779</v>
      </c>
      <c r="K26" s="515">
        <f>Aprēķini!J$246+Aprēķini!J$240*'Jutīguma analīze_IIA'!$B26</f>
        <v>15091.956361023203</v>
      </c>
      <c r="L26" s="515">
        <f>Aprēķini!K$246+Aprēķini!K$240*'Jutīguma analīze_IIA'!$B26</f>
        <v>15458.588393309406</v>
      </c>
      <c r="M26" s="515">
        <f>Aprēķini!L$246+Aprēķini!L$240*'Jutīguma analīze_IIA'!$B26</f>
        <v>15521.289628593779</v>
      </c>
      <c r="N26" s="515">
        <f>Aprēķini!M$246+Aprēķini!M$240*'Jutīguma analīze_IIA'!$B26</f>
        <v>15965.528473077498</v>
      </c>
      <c r="O26" s="515">
        <f>Aprēķini!N$246+Aprēķini!N$240*'Jutīguma analīze_IIA'!$B26</f>
        <v>16026.501211760955</v>
      </c>
      <c r="P26" s="515">
        <f>Aprēķini!O$246+Aprēķini!O$240*'Jutīguma analīze_IIA'!$B26</f>
        <v>10642.664923430375</v>
      </c>
      <c r="Q26" s="515">
        <f>Aprēķini!P$246+Aprēķini!P$240*'Jutīguma analīze_IIA'!$B26</f>
        <v>10600.355163893859</v>
      </c>
      <c r="R26" s="515">
        <f>Aprēķini!Q$246+Aprēķini!Q$240*'Jutīguma analīze_IIA'!$B26</f>
        <v>13610.346277954101</v>
      </c>
      <c r="S26" s="515">
        <f>Aprēķini!R$246+Aprēķini!R$240*'Jutīguma analīze_IIA'!$B26</f>
        <v>9235.6433402404746</v>
      </c>
      <c r="T26" s="515">
        <f>Aprēķini!S$246+Aprēķini!S$240*'Jutīguma analīze_IIA'!$B26</f>
        <v>13980.989241106909</v>
      </c>
      <c r="U26" s="515">
        <f>Aprēķini!T$246+Aprēķini!T$240*'Jutīguma analīze_IIA'!$B26</f>
        <v>8763.1448877684052</v>
      </c>
      <c r="V26" s="515">
        <f>Aprēķini!U$246+Aprēķini!U$240*'Jutīguma analīze_IIA'!$B26</f>
        <v>8909.2975190324341</v>
      </c>
      <c r="W26" s="515">
        <f>Aprēķini!V$246+Aprēķini!V$240*'Jutīguma analīze_IIA'!$B26</f>
        <v>7780.0851387058246</v>
      </c>
      <c r="X26" s="515">
        <f>Aprēķini!W$246+Aprēķini!W$240*'Jutīguma analīze_IIA'!$B26</f>
        <v>7694.7001607701977</v>
      </c>
      <c r="Y26" s="515">
        <f>Aprēķini!X$246+Aprēķini!X$240*'Jutīguma analīze_IIA'!$B26</f>
        <v>10659.887559830269</v>
      </c>
      <c r="Z26" s="515">
        <f>Aprēķini!Y$246+Aprēķini!Y$240*'Jutīguma analīze_IIA'!$B26</f>
        <v>10574.50258189502</v>
      </c>
      <c r="AA26" s="515">
        <f>Aprēķini!Z$246+Aprēķini!Z$240*'Jutīguma analīze_IIA'!$B26</f>
        <v>10105.851498159074</v>
      </c>
      <c r="AB26" s="515">
        <f>Aprēķini!AA$246+Aprēķini!AA$240*'Jutīguma analīze_IIA'!$B26</f>
        <v>10402.004129422765</v>
      </c>
      <c r="AC26" s="515">
        <f>Aprēķini!AB$246+Aprēķini!AB$240*'Jutīguma analīze_IIA'!$B26</f>
        <v>10392.497467084015</v>
      </c>
      <c r="AD26" s="515">
        <f>Aprēķini!AC$246+Aprēķini!AC$240*'Jutīguma analīze_IIA'!$B26</f>
        <v>16629.434373101871</v>
      </c>
      <c r="AE26" s="515">
        <f>Aprēķini!AD$246+Aprēķini!AD$240*'Jutīguma analīze_IIA'!$B26</f>
        <v>41182.810565686501</v>
      </c>
      <c r="AF26" s="515">
        <f>Aprēķini!AE$246+Aprēķini!AE$240*'Jutīguma analīze_IIA'!$B26</f>
        <v>41454.258055146049</v>
      </c>
      <c r="AG26" s="515">
        <f>Aprēķini!AF$246+Aprēķini!AF$240*'Jutīguma analīze_IIA'!$B26</f>
        <v>31605.584911577687</v>
      </c>
      <c r="AH26" s="515">
        <f>Aprēķini!AG$246+Aprēķini!AG$240*'Jutīguma analīze_IIA'!$B26</f>
        <v>635226.45901541575</v>
      </c>
      <c r="AI26" s="515">
        <f>Aprēķini!AH$246+Aprēķini!AH$240*'Jutīguma analīze_IIA'!$B26</f>
        <v>31841.533119253691</v>
      </c>
    </row>
    <row r="27" spans="1:35" ht="12.75" x14ac:dyDescent="0.2">
      <c r="A27" s="638"/>
      <c r="B27" s="115">
        <v>7.4999999999999997E-2</v>
      </c>
      <c r="C27" s="515">
        <f>Aprēķini!B$246+Aprēķini!B$240*'Jutīguma analīze_IIA'!$B27</f>
        <v>-1242.5840000000001</v>
      </c>
      <c r="D27" s="515">
        <f>Aprēķini!C$246+Aprēķini!C$240*'Jutīguma analīze_IIA'!$B27</f>
        <v>-1642.7779573968703</v>
      </c>
      <c r="E27" s="515">
        <f>Aprēķini!D$246+Aprēķini!D$240*'Jutīguma analīze_IIA'!$B27</f>
        <v>1454.925718145927</v>
      </c>
      <c r="F27" s="515">
        <f>Aprēķini!E$246+Aprēķini!E$240*'Jutīguma analīze_IIA'!$B27</f>
        <v>9924.4138423876466</v>
      </c>
      <c r="G27" s="515">
        <f>Aprēķini!F$246+Aprēķini!F$240*'Jutīguma analīze_IIA'!$B27</f>
        <v>9850.1118969185554</v>
      </c>
      <c r="H27" s="515">
        <f>Aprēķini!G$246+Aprēķini!G$240*'Jutīguma analīze_IIA'!$B27</f>
        <v>10399.929573033774</v>
      </c>
      <c r="I27" s="515">
        <f>Aprēķini!H$246+Aprēķini!H$240*'Jutīguma analīze_IIA'!$B27</f>
        <v>10362.201573100285</v>
      </c>
      <c r="J27" s="515">
        <f>Aprēķini!I$246+Aprēķini!I$240*'Jutīguma analīze_IIA'!$B27</f>
        <v>9971.6004837004384</v>
      </c>
      <c r="K27" s="515">
        <f>Aprēķini!J$246+Aprēķini!J$240*'Jutīguma analīze_IIA'!$B27</f>
        <v>14432.779718169326</v>
      </c>
      <c r="L27" s="515">
        <f>Aprēķini!K$246+Aprēķini!K$240*'Jutīguma analīze_IIA'!$B27</f>
        <v>14790.74044115554</v>
      </c>
      <c r="M27" s="515">
        <f>Aprēķini!L$246+Aprēķini!L$240*'Jutīguma analīze_IIA'!$B27</f>
        <v>14801.413820639969</v>
      </c>
      <c r="N27" s="515">
        <f>Aprēķini!M$246+Aprēķini!M$240*'Jutīguma analīze_IIA'!$B27</f>
        <v>15184.953500023757</v>
      </c>
      <c r="O27" s="515">
        <f>Aprēķini!N$246+Aprēķini!N$240*'Jutīguma analīze_IIA'!$B27</f>
        <v>15193.937666920923</v>
      </c>
      <c r="P27" s="515">
        <f>Aprēķini!O$246+Aprēķini!O$240*'Jutīguma analīze_IIA'!$B27</f>
        <v>9931.4997087902102</v>
      </c>
      <c r="Q27" s="515">
        <f>Aprēķini!P$246+Aprēķini!P$240*'Jutīguma analīze_IIA'!$B27</f>
        <v>9889.1899492536904</v>
      </c>
      <c r="R27" s="515">
        <f>Aprēķini!Q$246+Aprēķini!Q$240*'Jutīguma analīze_IIA'!$B27</f>
        <v>12829.810588914008</v>
      </c>
      <c r="S27" s="515">
        <f>Aprēķini!R$246+Aprēķini!R$240*'Jutīguma analīze_IIA'!$B27</f>
        <v>9149.4802234316812</v>
      </c>
      <c r="T27" s="515">
        <f>Aprēķini!S$246+Aprēķini!S$240*'Jutīguma analīze_IIA'!$B27</f>
        <v>13798.970313834412</v>
      </c>
      <c r="U27" s="515">
        <f>Aprēķini!T$246+Aprēķini!T$240*'Jutīguma analīze_IIA'!$B27</f>
        <v>8711.7062921732231</v>
      </c>
      <c r="V27" s="515">
        <f>Aprēķini!U$246+Aprēķini!U$240*'Jutīguma analīze_IIA'!$B27</f>
        <v>8866.530232737241</v>
      </c>
      <c r="W27" s="515">
        <f>Aprēķini!V$246+Aprēķini!V$240*'Jutīguma analīze_IIA'!$B27</f>
        <v>7945.4292756104069</v>
      </c>
      <c r="X27" s="515">
        <f>Aprēķini!W$246+Aprēķini!W$240*'Jutīguma analīze_IIA'!$B27</f>
        <v>7877.3869162747606</v>
      </c>
      <c r="Y27" s="515">
        <f>Aprēķini!X$246+Aprēķini!X$240*'Jutīguma analīze_IIA'!$B27</f>
        <v>10790.585743548541</v>
      </c>
      <c r="Z27" s="515">
        <f>Aprēķini!Y$246+Aprēķini!Y$240*'Jutīguma analīze_IIA'!$B27</f>
        <v>10722.543384213266</v>
      </c>
      <c r="AA27" s="515">
        <f>Aprēķini!Z$246+Aprēķini!Z$240*'Jutīguma analīze_IIA'!$B27</f>
        <v>10279.945512390947</v>
      </c>
      <c r="AB27" s="515">
        <f>Aprēķini!AA$246+Aprēķini!AA$240*'Jutīguma analīze_IIA'!$B27</f>
        <v>10584.76945295463</v>
      </c>
      <c r="AC27" s="515">
        <f>Aprēķini!AB$246+Aprēķini!AB$240*'Jutīguma analīze_IIA'!$B27</f>
        <v>10540.616837429567</v>
      </c>
      <c r="AD27" s="515">
        <f>Aprēķini!AC$246+Aprēķini!AC$240*'Jutīguma analīze_IIA'!$B27</f>
        <v>15823.670436434824</v>
      </c>
      <c r="AE27" s="515">
        <f>Aprēķini!AD$246+Aprēķini!AD$240*'Jutīguma analīze_IIA'!$B27</f>
        <v>37911.880610948516</v>
      </c>
      <c r="AF27" s="515">
        <f>Aprēķini!AE$246+Aprēķini!AE$240*'Jutīguma analīze_IIA'!$B27</f>
        <v>38096.615007408152</v>
      </c>
      <c r="AG27" s="515">
        <f>Aprēķini!AF$246+Aprēķini!AF$240*'Jutīguma analīze_IIA'!$B27</f>
        <v>28431.100027508175</v>
      </c>
      <c r="AH27" s="515">
        <f>Aprēķini!AG$246+Aprēķini!AG$240*'Jutīguma analīze_IIA'!$B27</f>
        <v>618292.64258484624</v>
      </c>
      <c r="AI27" s="515">
        <f>Aprēķini!AH$246+Aprēķini!AH$240*'Jutīguma analīze_IIA'!$B27</f>
        <v>28580.335142184271</v>
      </c>
    </row>
    <row r="28" spans="1:35" ht="12.75" x14ac:dyDescent="0.2">
      <c r="A28" s="642"/>
      <c r="B28" s="115">
        <v>0.05</v>
      </c>
      <c r="C28" s="515">
        <f>Aprēķini!B$246+Aprēķini!B$240*'Jutīguma analīze_IIA'!$B28</f>
        <v>-1242.5840000000001</v>
      </c>
      <c r="D28" s="515">
        <f>Aprēķini!C$246+Aprēķini!C$240*'Jutīguma analīze_IIA'!$B28</f>
        <v>-1642.7779573968703</v>
      </c>
      <c r="E28" s="515">
        <f>Aprēķini!D$246+Aprēķini!D$240*'Jutīguma analīze_IIA'!$B28</f>
        <v>1368.2274566476235</v>
      </c>
      <c r="F28" s="515">
        <f>Aprēķini!E$246+Aprēķini!E$240*'Jutīguma analīze_IIA'!$B28</f>
        <v>9406.1217707033666</v>
      </c>
      <c r="G28" s="515">
        <f>Aprēķini!F$246+Aprēķini!F$240*'Jutīguma analīze_IIA'!$B28</f>
        <v>9316.3461651465168</v>
      </c>
      <c r="H28" s="515">
        <f>Aprēķini!G$246+Aprēķini!G$240*'Jutīguma analīze_IIA'!$B28</f>
        <v>9835.6321598514132</v>
      </c>
      <c r="I28" s="515">
        <f>Aprēķini!H$246+Aprēķini!H$240*'Jutīguma analīze_IIA'!$B28</f>
        <v>9798.4093325463036</v>
      </c>
      <c r="J28" s="515">
        <f>Aprēķini!I$246+Aprēķini!I$240*'Jutīguma analīze_IIA'!$B28</f>
        <v>9416.5188364600981</v>
      </c>
      <c r="K28" s="515">
        <f>Aprēķini!J$246+Aprēķini!J$240*'Jutīguma analīze_IIA'!$B28</f>
        <v>13773.603075315446</v>
      </c>
      <c r="L28" s="515">
        <f>Aprēķini!K$246+Aprēķini!K$240*'Jutīguma analīze_IIA'!$B28</f>
        <v>14122.892489001675</v>
      </c>
      <c r="M28" s="515">
        <f>Aprēķini!L$246+Aprēķini!L$240*'Jutīguma analīze_IIA'!$B28</f>
        <v>14081.538012686158</v>
      </c>
      <c r="N28" s="515">
        <f>Aprēķini!M$246+Aprēķini!M$240*'Jutīguma analīze_IIA'!$B28</f>
        <v>14404.378526970015</v>
      </c>
      <c r="O28" s="515">
        <f>Aprēķini!N$246+Aprēķini!N$240*'Jutīguma analīze_IIA'!$B28</f>
        <v>14361.374122080893</v>
      </c>
      <c r="P28" s="515">
        <f>Aprēķini!O$246+Aprēķini!O$240*'Jutīguma analīze_IIA'!$B28</f>
        <v>9220.3344941500454</v>
      </c>
      <c r="Q28" s="515">
        <f>Aprēķini!P$246+Aprēķini!P$240*'Jutīguma analīze_IIA'!$B28</f>
        <v>9178.0247346135257</v>
      </c>
      <c r="R28" s="515">
        <f>Aprēķini!Q$246+Aprēķini!Q$240*'Jutīguma analīze_IIA'!$B28</f>
        <v>12049.274899873915</v>
      </c>
      <c r="S28" s="515">
        <f>Aprēķini!R$246+Aprēķini!R$240*'Jutīguma analīze_IIA'!$B28</f>
        <v>9063.3171066228861</v>
      </c>
      <c r="T28" s="515">
        <f>Aprēķini!S$246+Aprēķini!S$240*'Jutīguma analīze_IIA'!$B28</f>
        <v>13616.951386561914</v>
      </c>
      <c r="U28" s="515">
        <f>Aprēķini!T$246+Aprēķini!T$240*'Jutīguma analīze_IIA'!$B28</f>
        <v>8660.2676965780429</v>
      </c>
      <c r="V28" s="515">
        <f>Aprēķini!U$246+Aprēķini!U$240*'Jutīguma analīze_IIA'!$B28</f>
        <v>8823.7629464420497</v>
      </c>
      <c r="W28" s="515">
        <f>Aprēķini!V$246+Aprēķini!V$240*'Jutīguma analīze_IIA'!$B28</f>
        <v>8110.7734125149891</v>
      </c>
      <c r="X28" s="515">
        <f>Aprēķini!W$246+Aprēķini!W$240*'Jutīguma analīze_IIA'!$B28</f>
        <v>8060.0736717793225</v>
      </c>
      <c r="Y28" s="515">
        <f>Aprēķini!X$246+Aprēķini!X$240*'Jutīguma analīze_IIA'!$B28</f>
        <v>10921.283927266815</v>
      </c>
      <c r="Z28" s="515">
        <f>Aprēķini!Y$246+Aprēķini!Y$240*'Jutīguma analīze_IIA'!$B28</f>
        <v>10870.584186531514</v>
      </c>
      <c r="AA28" s="515">
        <f>Aprēķini!Z$246+Aprēķini!Z$240*'Jutīguma analīze_IIA'!$B28</f>
        <v>10454.039526622817</v>
      </c>
      <c r="AB28" s="515">
        <f>Aprēķini!AA$246+Aprēķini!AA$240*'Jutīguma analīze_IIA'!$B28</f>
        <v>10767.534776486495</v>
      </c>
      <c r="AC28" s="515">
        <f>Aprēķini!AB$246+Aprēķini!AB$240*'Jutīguma analīze_IIA'!$B28</f>
        <v>10688.736207775117</v>
      </c>
      <c r="AD28" s="515">
        <f>Aprēķini!AC$246+Aprēķini!AC$240*'Jutīguma analīze_IIA'!$B28</f>
        <v>15017.906499767778</v>
      </c>
      <c r="AE28" s="515">
        <f>Aprēķini!AD$246+Aprēķini!AD$240*'Jutīguma analīze_IIA'!$B28</f>
        <v>34640.950656210538</v>
      </c>
      <c r="AF28" s="515">
        <f>Aprēķini!AE$246+Aprēķini!AE$240*'Jutīguma analīze_IIA'!$B28</f>
        <v>34738.971959670263</v>
      </c>
      <c r="AG28" s="515">
        <f>Aprēķini!AF$246+Aprēķini!AF$240*'Jutīguma analīze_IIA'!$B28</f>
        <v>25256.615143438659</v>
      </c>
      <c r="AH28" s="515">
        <f>Aprēķini!AG$246+Aprēķini!AG$240*'Jutīguma analīze_IIA'!$B28</f>
        <v>601358.82615427673</v>
      </c>
      <c r="AI28" s="515">
        <f>Aprēķini!AH$246+Aprēķini!AH$240*'Jutīguma analīze_IIA'!$B28</f>
        <v>25319.137165114855</v>
      </c>
    </row>
    <row r="29" spans="1:35" ht="12.75" x14ac:dyDescent="0.2">
      <c r="A29" s="642"/>
      <c r="B29" s="115">
        <v>2.5000000000000001E-2</v>
      </c>
      <c r="C29" s="515">
        <f>Aprēķini!B$246+Aprēķini!B$240*'Jutīguma analīze_IIA'!$B29</f>
        <v>-1242.5840000000001</v>
      </c>
      <c r="D29" s="515">
        <f>Aprēķini!C$246+Aprēķini!C$240*'Jutīguma analīze_IIA'!$B29</f>
        <v>-1642.7779573968703</v>
      </c>
      <c r="E29" s="515">
        <f>Aprēķini!D$246+Aprēķini!D$240*'Jutīguma analīze_IIA'!$B29</f>
        <v>1281.52919514932</v>
      </c>
      <c r="F29" s="515">
        <f>Aprēķini!E$246+Aprēķini!E$240*'Jutīguma analīze_IIA'!$B29</f>
        <v>8887.8296990190847</v>
      </c>
      <c r="G29" s="515">
        <f>Aprēķini!F$246+Aprēķini!F$240*'Jutīguma analīze_IIA'!$B29</f>
        <v>8782.5804333744763</v>
      </c>
      <c r="H29" s="515">
        <f>Aprēķini!G$246+Aprēķini!G$240*'Jutīguma analīze_IIA'!$B29</f>
        <v>9271.3347466690539</v>
      </c>
      <c r="I29" s="515">
        <f>Aprēķini!H$246+Aprēķini!H$240*'Jutīguma analīze_IIA'!$B29</f>
        <v>9234.6170919923206</v>
      </c>
      <c r="J29" s="515">
        <f>Aprēķini!I$246+Aprēķini!I$240*'Jutīguma analīze_IIA'!$B29</f>
        <v>8861.4371892197578</v>
      </c>
      <c r="K29" s="515">
        <f>Aprēķini!J$246+Aprēķini!J$240*'Jutīguma analīze_IIA'!$B29</f>
        <v>13114.426432461569</v>
      </c>
      <c r="L29" s="515">
        <f>Aprēķini!K$246+Aprēķini!K$240*'Jutīguma analīze_IIA'!$B29</f>
        <v>13455.044536847809</v>
      </c>
      <c r="M29" s="515">
        <f>Aprēķini!L$246+Aprēķini!L$240*'Jutīguma analīze_IIA'!$B29</f>
        <v>13361.662204732347</v>
      </c>
      <c r="N29" s="515">
        <f>Aprēķini!M$246+Aprēķini!M$240*'Jutīguma analīze_IIA'!$B29</f>
        <v>13623.803553916274</v>
      </c>
      <c r="O29" s="515">
        <f>Aprēķini!N$246+Aprēķini!N$240*'Jutīguma analīze_IIA'!$B29</f>
        <v>13528.810577240862</v>
      </c>
      <c r="P29" s="515">
        <f>Aprēķini!O$246+Aprēķini!O$240*'Jutīguma analīze_IIA'!$B29</f>
        <v>8509.1692795098825</v>
      </c>
      <c r="Q29" s="515">
        <f>Aprēķini!P$246+Aprēķini!P$240*'Jutīguma analīze_IIA'!$B29</f>
        <v>8466.8595199733591</v>
      </c>
      <c r="R29" s="515">
        <f>Aprēķini!Q$246+Aprēķini!Q$240*'Jutīguma analīze_IIA'!$B29</f>
        <v>11268.739210833823</v>
      </c>
      <c r="S29" s="515">
        <f>Aprēķini!R$246+Aprēķini!R$240*'Jutīguma analīze_IIA'!$B29</f>
        <v>8977.1539898140927</v>
      </c>
      <c r="T29" s="515">
        <f>Aprēķini!S$246+Aprēķini!S$240*'Jutīguma analīze_IIA'!$B29</f>
        <v>13434.932459289417</v>
      </c>
      <c r="U29" s="515">
        <f>Aprēķini!T$246+Aprēķini!T$240*'Jutīguma analīze_IIA'!$B29</f>
        <v>8608.8291009828608</v>
      </c>
      <c r="V29" s="515">
        <f>Aprēķini!U$246+Aprēķini!U$240*'Jutīguma analīze_IIA'!$B29</f>
        <v>8780.9956601468584</v>
      </c>
      <c r="W29" s="515">
        <f>Aprēķini!V$246+Aprēķini!V$240*'Jutīguma analīze_IIA'!$B29</f>
        <v>8276.1175494195704</v>
      </c>
      <c r="X29" s="515">
        <f>Aprēķini!W$246+Aprēķini!W$240*'Jutīguma analīze_IIA'!$B29</f>
        <v>8242.7604272838853</v>
      </c>
      <c r="Y29" s="515">
        <f>Aprēķini!X$246+Aprēķini!X$240*'Jutīguma analīze_IIA'!$B29</f>
        <v>11051.982110985087</v>
      </c>
      <c r="Z29" s="515">
        <f>Aprēķini!Y$246+Aprēķini!Y$240*'Jutīguma analīze_IIA'!$B29</f>
        <v>11018.62498884976</v>
      </c>
      <c r="AA29" s="515">
        <f>Aprēķini!Z$246+Aprēķini!Z$240*'Jutīguma analīze_IIA'!$B29</f>
        <v>10628.133540854689</v>
      </c>
      <c r="AB29" s="515">
        <f>Aprēķini!AA$246+Aprēķini!AA$240*'Jutīguma analīze_IIA'!$B29</f>
        <v>10950.300100018358</v>
      </c>
      <c r="AC29" s="515">
        <f>Aprēķini!AB$246+Aprēķini!AB$240*'Jutīguma analīze_IIA'!$B29</f>
        <v>10836.855578120669</v>
      </c>
      <c r="AD29" s="515">
        <f>Aprēķini!AC$246+Aprēķini!AC$240*'Jutīguma analīze_IIA'!$B29</f>
        <v>14212.142563100731</v>
      </c>
      <c r="AE29" s="515">
        <f>Aprēķini!AD$246+Aprēķini!AD$240*'Jutīguma analīze_IIA'!$B29</f>
        <v>31370.020701472553</v>
      </c>
      <c r="AF29" s="515">
        <f>Aprēķini!AE$246+Aprēķini!AE$240*'Jutīguma analīze_IIA'!$B29</f>
        <v>31381.328911932374</v>
      </c>
      <c r="AG29" s="515">
        <f>Aprēķini!AF$246+Aprēķini!AF$240*'Jutīguma analīze_IIA'!$B29</f>
        <v>22082.130259369147</v>
      </c>
      <c r="AH29" s="515">
        <f>Aprēķini!AG$246+Aprēķini!AG$240*'Jutīguma analīze_IIA'!$B29</f>
        <v>584425.00972370734</v>
      </c>
      <c r="AI29" s="515">
        <f>Aprēķini!AH$246+Aprēķini!AH$240*'Jutīguma analīze_IIA'!$B29</f>
        <v>22057.939188045435</v>
      </c>
    </row>
    <row r="30" spans="1:35" ht="12.75" x14ac:dyDescent="0.2">
      <c r="A30" s="642"/>
      <c r="B30" s="115">
        <v>0.01</v>
      </c>
      <c r="C30" s="515">
        <f>Aprēķini!B$246+Aprēķini!B$240*'Jutīguma analīze_IIA'!$B30</f>
        <v>-1242.5840000000001</v>
      </c>
      <c r="D30" s="515">
        <f>Aprēķini!C$246+Aprēķini!C$240*'Jutīguma analīze_IIA'!$B30</f>
        <v>-1642.7779573968703</v>
      </c>
      <c r="E30" s="515">
        <f>Aprēķini!D$246+Aprēķini!D$240*'Jutīguma analīze_IIA'!$B30</f>
        <v>1229.5102382503378</v>
      </c>
      <c r="F30" s="515">
        <f>Aprēķini!E$246+Aprēķini!E$240*'Jutīguma analīze_IIA'!$B30</f>
        <v>8576.8544560085174</v>
      </c>
      <c r="G30" s="515">
        <f>Aprēķini!F$246+Aprēķini!F$240*'Jutīguma analīze_IIA'!$B30</f>
        <v>8462.3209943112543</v>
      </c>
      <c r="H30" s="515">
        <f>Aprēķini!G$246+Aprēķini!G$240*'Jutīguma analīze_IIA'!$B30</f>
        <v>8932.7562987596375</v>
      </c>
      <c r="I30" s="515">
        <f>Aprēķini!H$246+Aprēķini!H$240*'Jutīguma analīze_IIA'!$B30</f>
        <v>8896.3417476599316</v>
      </c>
      <c r="J30" s="515">
        <f>Aprēķini!I$246+Aprēķini!I$240*'Jutīguma analīze_IIA'!$B30</f>
        <v>8528.3882008755536</v>
      </c>
      <c r="K30" s="515">
        <f>Aprēķini!J$246+Aprēķini!J$240*'Jutīguma analīze_IIA'!$B30</f>
        <v>12718.92044674924</v>
      </c>
      <c r="L30" s="515">
        <f>Aprēķini!K$246+Aprēķini!K$240*'Jutīguma analīze_IIA'!$B30</f>
        <v>13054.335765555488</v>
      </c>
      <c r="M30" s="515">
        <f>Aprēķini!L$246+Aprēķini!L$240*'Jutīguma analīze_IIA'!$B30</f>
        <v>12929.736719960061</v>
      </c>
      <c r="N30" s="515">
        <f>Aprēķini!M$246+Aprēķini!M$240*'Jutīguma analīze_IIA'!$B30</f>
        <v>13155.458570084027</v>
      </c>
      <c r="O30" s="515">
        <f>Aprēķini!N$246+Aprēķini!N$240*'Jutīguma analīze_IIA'!$B30</f>
        <v>13029.272450336844</v>
      </c>
      <c r="P30" s="515">
        <f>Aprēķini!O$246+Aprēķini!O$240*'Jutīguma analīze_IIA'!$B30</f>
        <v>8082.4701507257832</v>
      </c>
      <c r="Q30" s="515">
        <f>Aprēķini!P$246+Aprēķini!P$240*'Jutīguma analīze_IIA'!$B30</f>
        <v>8040.1603911892589</v>
      </c>
      <c r="R30" s="515">
        <f>Aprēķini!Q$246+Aprēķini!Q$240*'Jutīguma analīze_IIA'!$B30</f>
        <v>10800.417797409767</v>
      </c>
      <c r="S30" s="515">
        <f>Aprēķini!R$246+Aprēķini!R$240*'Jutīguma analīze_IIA'!$B30</f>
        <v>8925.4561197288167</v>
      </c>
      <c r="T30" s="515">
        <f>Aprēķini!S$246+Aprēķini!S$240*'Jutīguma analīze_IIA'!$B30</f>
        <v>13325.721102925918</v>
      </c>
      <c r="U30" s="515">
        <f>Aprēķini!T$246+Aprēķini!T$240*'Jutīguma analīze_IIA'!$B30</f>
        <v>8577.9659436257534</v>
      </c>
      <c r="V30" s="515">
        <f>Aprēķini!U$246+Aprēķini!U$240*'Jutīguma analīze_IIA'!$B30</f>
        <v>8755.3352883697444</v>
      </c>
      <c r="W30" s="515">
        <f>Aprēķini!V$246+Aprēķini!V$240*'Jutīguma analīze_IIA'!$B30</f>
        <v>8375.3240315623207</v>
      </c>
      <c r="X30" s="515">
        <f>Aprēķini!W$246+Aprēķini!W$240*'Jutīguma analīze_IIA'!$B30</f>
        <v>8352.3724805866223</v>
      </c>
      <c r="Y30" s="515">
        <f>Aprēķini!X$246+Aprēķini!X$240*'Jutīguma analīze_IIA'!$B30</f>
        <v>11130.401021216052</v>
      </c>
      <c r="Z30" s="515">
        <f>Aprēķini!Y$246+Aprēķini!Y$240*'Jutīguma analīze_IIA'!$B30</f>
        <v>11107.44947024071</v>
      </c>
      <c r="AA30" s="515">
        <f>Aprēķini!Z$246+Aprēķini!Z$240*'Jutīguma analīze_IIA'!$B30</f>
        <v>10732.58994939381</v>
      </c>
      <c r="AB30" s="515">
        <f>Aprēķini!AA$246+Aprēķini!AA$240*'Jutīguma analīze_IIA'!$B30</f>
        <v>11059.959294137478</v>
      </c>
      <c r="AC30" s="515">
        <f>Aprēķini!AB$246+Aprēķini!AB$240*'Jutīguma analīze_IIA'!$B30</f>
        <v>10925.727200328</v>
      </c>
      <c r="AD30" s="515">
        <f>Aprēķini!AC$246+Aprēķini!AC$240*'Jutīguma analīze_IIA'!$B30</f>
        <v>13728.684201100503</v>
      </c>
      <c r="AE30" s="515">
        <f>Aprēķini!AD$246+Aprēķini!AD$240*'Jutīguma analīze_IIA'!$B30</f>
        <v>29407.462728629762</v>
      </c>
      <c r="AF30" s="515">
        <f>Aprēķini!AE$246+Aprēķini!AE$240*'Jutīguma analīze_IIA'!$B30</f>
        <v>29366.743083289643</v>
      </c>
      <c r="AG30" s="515">
        <f>Aprēķini!AF$246+Aprēķini!AF$240*'Jutīguma analīze_IIA'!$B30</f>
        <v>20177.439328927438</v>
      </c>
      <c r="AH30" s="515">
        <f>Aprēķini!AG$246+Aprēķini!AG$240*'Jutīguma analīze_IIA'!$B30</f>
        <v>574264.71986536565</v>
      </c>
      <c r="AI30" s="515">
        <f>Aprēķini!AH$246+Aprēķini!AH$240*'Jutīguma analīze_IIA'!$B30</f>
        <v>20101.220401803785</v>
      </c>
    </row>
    <row r="31" spans="1:35" s="509" customFormat="1" ht="12.75" x14ac:dyDescent="0.2">
      <c r="A31" s="681"/>
      <c r="B31" s="116">
        <v>0</v>
      </c>
      <c r="C31" s="583">
        <f>Aprēķini!B$246+Aprēķini!B$240*'Jutīguma analīze_IIA'!$B31</f>
        <v>-1242.5840000000001</v>
      </c>
      <c r="D31" s="583">
        <f>Aprēķini!C$246+Aprēķini!C$240*'Jutīguma analīze_IIA'!$B31</f>
        <v>-1642.7779573968703</v>
      </c>
      <c r="E31" s="583">
        <f>Aprēķini!D$246+Aprēķini!D$240*'Jutīguma analīze_IIA'!$B31</f>
        <v>1194.8309336510165</v>
      </c>
      <c r="F31" s="583">
        <f>Aprēķini!E$246+Aprēķini!E$240*'Jutīguma analīze_IIA'!$B31</f>
        <v>8369.5376273348047</v>
      </c>
      <c r="G31" s="583">
        <f>Aprēķini!F$246+Aprēķini!F$240*'Jutīguma analīze_IIA'!$B31</f>
        <v>8248.8147016024377</v>
      </c>
      <c r="H31" s="583">
        <f>Aprēķini!G$246+Aprēķini!G$240*'Jutīguma analīze_IIA'!$B31</f>
        <v>8707.0373334866927</v>
      </c>
      <c r="I31" s="583">
        <f>Aprēķini!H$246+Aprēķini!H$240*'Jutīguma analīze_IIA'!$B31</f>
        <v>8670.8248514383376</v>
      </c>
      <c r="J31" s="583">
        <f>Aprēķini!I$246+Aprēķini!I$240*'Jutīguma analīze_IIA'!$B31</f>
        <v>8306.3555419794175</v>
      </c>
      <c r="K31" s="583">
        <f>Aprēķini!J$246+Aprēķini!J$240*'Jutīguma analīze_IIA'!$B31</f>
        <v>12455.249789607689</v>
      </c>
      <c r="L31" s="583">
        <f>Aprēķini!K$246+Aprēķini!K$240*'Jutīguma analīze_IIA'!$B31</f>
        <v>12787.196584693942</v>
      </c>
      <c r="M31" s="583">
        <f>Aprēķini!L$246+Aprēķini!L$240*'Jutīguma analīze_IIA'!$B31</f>
        <v>12641.786396778538</v>
      </c>
      <c r="N31" s="583">
        <f>Aprēķini!M$246+Aprēķini!M$240*'Jutīguma analīze_IIA'!$B31</f>
        <v>12843.228580862531</v>
      </c>
      <c r="O31" s="583">
        <f>Aprēķini!N$246+Aprēķini!N$240*'Jutīguma analīze_IIA'!$B31</f>
        <v>12696.247032400832</v>
      </c>
      <c r="P31" s="583">
        <f>Aprēķini!O$246+Aprēķini!O$240*'Jutīguma analīze_IIA'!$B31</f>
        <v>7798.0040648697177</v>
      </c>
      <c r="Q31" s="583">
        <f>Aprēķini!P$246+Aprēķini!P$240*'Jutīguma analīze_IIA'!$B31</f>
        <v>7755.6943053331925</v>
      </c>
      <c r="R31" s="583">
        <f>Aprēķini!Q$246+Aprēķini!Q$240*'Jutīguma analīze_IIA'!$B31</f>
        <v>10488.20352179373</v>
      </c>
      <c r="S31" s="583">
        <f>Aprēķini!R$246+Aprēķini!R$240*'Jutīguma analīze_IIA'!$B31</f>
        <v>8890.9908730052994</v>
      </c>
      <c r="T31" s="583">
        <f>Aprēķini!S$246+Aprēķini!S$240*'Jutīguma analīze_IIA'!$B31</f>
        <v>13252.913532016919</v>
      </c>
      <c r="U31" s="583">
        <f>Aprēķini!T$246+Aprēķini!T$240*'Jutīguma analīze_IIA'!$B31</f>
        <v>8557.3905053876806</v>
      </c>
      <c r="V31" s="583">
        <f>Aprēķini!U$246+Aprēķini!U$240*'Jutīguma analīze_IIA'!$B31</f>
        <v>8738.2283738516671</v>
      </c>
      <c r="W31" s="583">
        <f>Aprēķini!V$246+Aprēķini!V$240*'Jutīguma analīze_IIA'!$B31</f>
        <v>8441.4616863241536</v>
      </c>
      <c r="X31" s="583">
        <f>Aprēķini!W$246+Aprēķini!W$240*'Jutīguma analīze_IIA'!$B31</f>
        <v>8425.4471827884481</v>
      </c>
      <c r="Y31" s="583">
        <f>Aprēķini!X$246+Aprēķini!X$240*'Jutīguma analīze_IIA'!$B31</f>
        <v>11182.680294703361</v>
      </c>
      <c r="Z31" s="583">
        <f>Aprēķini!Y$246+Aprēķini!Y$240*'Jutīguma analīze_IIA'!$B31</f>
        <v>11166.665791168009</v>
      </c>
      <c r="AA31" s="583">
        <f>Aprēķini!Z$246+Aprēķini!Z$240*'Jutīguma analīze_IIA'!$B31</f>
        <v>10802.22755508656</v>
      </c>
      <c r="AB31" s="583">
        <f>Aprēķini!AA$246+Aprēķini!AA$240*'Jutīguma analīze_IIA'!$B31</f>
        <v>11133.065423550222</v>
      </c>
      <c r="AC31" s="583">
        <f>Aprēķini!AB$246+Aprēķini!AB$240*'Jutīguma analīze_IIA'!$B31</f>
        <v>10984.974948466221</v>
      </c>
      <c r="AD31" s="583">
        <f>Aprēķini!AC$246+Aprēķini!AC$240*'Jutīguma analīze_IIA'!$B31</f>
        <v>13406.378626433685</v>
      </c>
      <c r="AE31" s="583">
        <f>Aprēķini!AD$246+Aprēķini!AD$240*'Jutīguma analīze_IIA'!$B31</f>
        <v>28099.090746734568</v>
      </c>
      <c r="AF31" s="583">
        <f>Aprēķini!AE$246+Aprēķini!AE$240*'Jutīguma analīze_IIA'!$B31</f>
        <v>28023.685864194485</v>
      </c>
      <c r="AG31" s="583">
        <f>Aprēķini!AF$246+Aprēķini!AF$240*'Jutīguma analīze_IIA'!$B31</f>
        <v>18907.645375299631</v>
      </c>
      <c r="AH31" s="583">
        <f>Aprēķini!AG$246+Aprēķini!AG$240*'Jutīguma analīze_IIA'!$B31</f>
        <v>567491.19329313783</v>
      </c>
      <c r="AI31" s="583">
        <f>Aprēķini!AH$246+Aprēķini!AH$240*'Jutīguma analīze_IIA'!$B31</f>
        <v>18796.741210976019</v>
      </c>
    </row>
    <row r="32" spans="1:35" ht="12.75" x14ac:dyDescent="0.2">
      <c r="A32" s="642"/>
      <c r="B32" s="115">
        <v>-0.01</v>
      </c>
      <c r="C32" s="515">
        <f>Aprēķini!B$246+Aprēķini!B$240*'Jutīguma analīze_IIA'!$B32</f>
        <v>-1242.5840000000001</v>
      </c>
      <c r="D32" s="515">
        <f>Aprēķini!C$246+Aprēķini!C$240*'Jutīguma analīze_IIA'!$B32</f>
        <v>-1642.7779573968703</v>
      </c>
      <c r="E32" s="515">
        <f>Aprēķini!D$246+Aprēķini!D$240*'Jutīguma analīze_IIA'!$B32</f>
        <v>1160.1516290516952</v>
      </c>
      <c r="F32" s="515">
        <f>Aprēķini!E$246+Aprēķini!E$240*'Jutīguma analīze_IIA'!$B32</f>
        <v>8162.2207986610929</v>
      </c>
      <c r="G32" s="515">
        <f>Aprēķini!F$246+Aprēķini!F$240*'Jutīguma analīze_IIA'!$B32</f>
        <v>8035.3084088936221</v>
      </c>
      <c r="H32" s="515">
        <f>Aprēķini!G$246+Aprēķini!G$240*'Jutīguma analīze_IIA'!$B32</f>
        <v>8481.3183682137478</v>
      </c>
      <c r="I32" s="515">
        <f>Aprēķini!H$246+Aprēķini!H$240*'Jutīguma analīze_IIA'!$B32</f>
        <v>8445.3079552167437</v>
      </c>
      <c r="J32" s="515">
        <f>Aprēķini!I$246+Aprēķini!I$240*'Jutīguma analīze_IIA'!$B32</f>
        <v>8084.3228830832813</v>
      </c>
      <c r="K32" s="515">
        <f>Aprēķini!J$246+Aprēķini!J$240*'Jutīguma analīze_IIA'!$B32</f>
        <v>12191.579132466139</v>
      </c>
      <c r="L32" s="515">
        <f>Aprēķini!K$246+Aprēķini!K$240*'Jutīguma analīze_IIA'!$B32</f>
        <v>12520.057403832396</v>
      </c>
      <c r="M32" s="515">
        <f>Aprēķini!L$246+Aprēķini!L$240*'Jutīguma analīze_IIA'!$B32</f>
        <v>12353.836073597015</v>
      </c>
      <c r="N32" s="515">
        <f>Aprēķini!M$246+Aprēķini!M$240*'Jutīguma analīze_IIA'!$B32</f>
        <v>12530.998591641035</v>
      </c>
      <c r="O32" s="515">
        <f>Aprēķini!N$246+Aprēķini!N$240*'Jutīguma analīze_IIA'!$B32</f>
        <v>12363.221614464819</v>
      </c>
      <c r="P32" s="515">
        <f>Aprēķini!O$246+Aprēķini!O$240*'Jutīguma analīze_IIA'!$B32</f>
        <v>7513.5379790136521</v>
      </c>
      <c r="Q32" s="515">
        <f>Aprēķini!P$246+Aprēķini!P$240*'Jutīguma analīze_IIA'!$B32</f>
        <v>7471.228219477126</v>
      </c>
      <c r="R32" s="515">
        <f>Aprēķini!Q$246+Aprēķini!Q$240*'Jutīguma analīze_IIA'!$B32</f>
        <v>10175.989246177693</v>
      </c>
      <c r="S32" s="515">
        <f>Aprēķini!R$246+Aprēķini!R$240*'Jutīguma analīze_IIA'!$B32</f>
        <v>8856.525626281782</v>
      </c>
      <c r="T32" s="515">
        <f>Aprēķini!S$246+Aprēķini!S$240*'Jutīguma analīze_IIA'!$B32</f>
        <v>13180.10596110792</v>
      </c>
      <c r="U32" s="515">
        <f>Aprēķini!T$246+Aprēķini!T$240*'Jutīguma analīze_IIA'!$B32</f>
        <v>8536.8150671496078</v>
      </c>
      <c r="V32" s="515">
        <f>Aprēķini!U$246+Aprēķini!U$240*'Jutīguma analīze_IIA'!$B32</f>
        <v>8721.1214593335899</v>
      </c>
      <c r="W32" s="515">
        <f>Aprēķini!V$246+Aprēķini!V$240*'Jutīguma analīze_IIA'!$B32</f>
        <v>8507.5993410859865</v>
      </c>
      <c r="X32" s="515">
        <f>Aprēķini!W$246+Aprēķini!W$240*'Jutīguma analīze_IIA'!$B32</f>
        <v>8498.521884990274</v>
      </c>
      <c r="Y32" s="515">
        <f>Aprēķini!X$246+Aprēķini!X$240*'Jutīguma analīze_IIA'!$B32</f>
        <v>11234.95956819067</v>
      </c>
      <c r="Z32" s="515">
        <f>Aprēķini!Y$246+Aprēķini!Y$240*'Jutīguma analīze_IIA'!$B32</f>
        <v>11225.882112095307</v>
      </c>
      <c r="AA32" s="515">
        <f>Aprēķini!Z$246+Aprēķini!Z$240*'Jutīguma analīze_IIA'!$B32</f>
        <v>10871.865160779309</v>
      </c>
      <c r="AB32" s="515">
        <f>Aprēķini!AA$246+Aprēķini!AA$240*'Jutīguma analīze_IIA'!$B32</f>
        <v>11206.171552962967</v>
      </c>
      <c r="AC32" s="515">
        <f>Aprēķini!AB$246+Aprēķini!AB$240*'Jutīguma analīze_IIA'!$B32</f>
        <v>11044.222696604442</v>
      </c>
      <c r="AD32" s="515">
        <f>Aprēķini!AC$246+Aprēķini!AC$240*'Jutīguma analīze_IIA'!$B32</f>
        <v>13084.073051766867</v>
      </c>
      <c r="AE32" s="515">
        <f>Aprēķini!AD$246+Aprēķini!AD$240*'Jutīguma analīze_IIA'!$B32</f>
        <v>26790.718764839374</v>
      </c>
      <c r="AF32" s="515">
        <f>Aprēķini!AE$246+Aprēķini!AE$240*'Jutīguma analīze_IIA'!$B32</f>
        <v>26680.628645099328</v>
      </c>
      <c r="AG32" s="515">
        <f>Aprēķini!AF$246+Aprēķini!AF$240*'Jutīguma analīze_IIA'!$B32</f>
        <v>17637.851421671825</v>
      </c>
      <c r="AH32" s="515">
        <f>Aprēķini!AG$246+Aprēķini!AG$240*'Jutīguma analīze_IIA'!$B32</f>
        <v>560717.66672091</v>
      </c>
      <c r="AI32" s="515">
        <f>Aprēķini!AH$246+Aprēķini!AH$240*'Jutīguma analīze_IIA'!$B32</f>
        <v>17492.262020148253</v>
      </c>
    </row>
    <row r="33" spans="1:35" ht="12.75" x14ac:dyDescent="0.2">
      <c r="A33" s="642"/>
      <c r="B33" s="115">
        <v>-2.5000000000000001E-2</v>
      </c>
      <c r="C33" s="515">
        <f>Aprēķini!B$246+Aprēķini!B$240*'Jutīguma analīze_IIA'!$B33</f>
        <v>-1242.5840000000001</v>
      </c>
      <c r="D33" s="515">
        <f>Aprēķini!C$246+Aprēķini!C$240*'Jutīguma analīze_IIA'!$B33</f>
        <v>-1642.7779573968703</v>
      </c>
      <c r="E33" s="515">
        <f>Aprēķini!D$246+Aprēķini!D$240*'Jutīguma analīze_IIA'!$B33</f>
        <v>1108.132672152713</v>
      </c>
      <c r="F33" s="515">
        <f>Aprēķini!E$246+Aprēķini!E$240*'Jutīguma analīze_IIA'!$B33</f>
        <v>7851.2455556505238</v>
      </c>
      <c r="G33" s="515">
        <f>Aprēķini!F$246+Aprēķini!F$240*'Jutīguma analīze_IIA'!$B33</f>
        <v>7715.0489698303982</v>
      </c>
      <c r="H33" s="515">
        <f>Aprēķini!G$246+Aprēķini!G$240*'Jutīguma analīze_IIA'!$B33</f>
        <v>8142.7399203043324</v>
      </c>
      <c r="I33" s="515">
        <f>Aprēķini!H$246+Aprēķini!H$240*'Jutīguma analīze_IIA'!$B33</f>
        <v>8107.0326108843547</v>
      </c>
      <c r="J33" s="515">
        <f>Aprēķini!I$246+Aprēķini!I$240*'Jutīguma analīze_IIA'!$B33</f>
        <v>7751.2738947390772</v>
      </c>
      <c r="K33" s="515">
        <f>Aprēķini!J$246+Aprēķini!J$240*'Jutīguma analīze_IIA'!$B33</f>
        <v>11796.07314675381</v>
      </c>
      <c r="L33" s="515">
        <f>Aprēķini!K$246+Aprēķini!K$240*'Jutīguma analīze_IIA'!$B33</f>
        <v>12119.348632540075</v>
      </c>
      <c r="M33" s="515">
        <f>Aprēķini!L$246+Aprēķini!L$240*'Jutīguma analīze_IIA'!$B33</f>
        <v>11921.910588824729</v>
      </c>
      <c r="N33" s="515">
        <f>Aprēķini!M$246+Aprēķini!M$240*'Jutīguma analīze_IIA'!$B33</f>
        <v>12062.653607808788</v>
      </c>
      <c r="O33" s="515">
        <f>Aprēķini!N$246+Aprēķini!N$240*'Jutīguma analīze_IIA'!$B33</f>
        <v>11863.683487560802</v>
      </c>
      <c r="P33" s="515">
        <f>Aprēķini!O$246+Aprēķini!O$240*'Jutīguma analīze_IIA'!$B33</f>
        <v>7086.8388502295538</v>
      </c>
      <c r="Q33" s="515">
        <f>Aprēķini!P$246+Aprēķini!P$240*'Jutīguma analīze_IIA'!$B33</f>
        <v>7044.5290906930259</v>
      </c>
      <c r="R33" s="515">
        <f>Aprēķini!Q$246+Aprēķini!Q$240*'Jutīguma analīze_IIA'!$B33</f>
        <v>9707.6678327536374</v>
      </c>
      <c r="S33" s="515">
        <f>Aprēķini!R$246+Aprēķini!R$240*'Jutīguma analīze_IIA'!$B33</f>
        <v>8804.827756196506</v>
      </c>
      <c r="T33" s="515">
        <f>Aprēķini!S$246+Aprēķini!S$240*'Jutīguma analīze_IIA'!$B33</f>
        <v>13070.894604744421</v>
      </c>
      <c r="U33" s="515">
        <f>Aprēķini!T$246+Aprēķini!T$240*'Jutīguma analīze_IIA'!$B33</f>
        <v>8505.9519097925004</v>
      </c>
      <c r="V33" s="515">
        <f>Aprēķini!U$246+Aprēķini!U$240*'Jutīguma analīze_IIA'!$B33</f>
        <v>8695.4610875564758</v>
      </c>
      <c r="W33" s="515">
        <f>Aprēķini!V$246+Aprēķini!V$240*'Jutīguma analīze_IIA'!$B33</f>
        <v>8606.8058232287367</v>
      </c>
      <c r="X33" s="515">
        <f>Aprēķini!W$246+Aprēķini!W$240*'Jutīguma analīze_IIA'!$B33</f>
        <v>8608.1339382930109</v>
      </c>
      <c r="Y33" s="515">
        <f>Aprēķini!X$246+Aprēķini!X$240*'Jutīguma analīze_IIA'!$B33</f>
        <v>11313.378478421635</v>
      </c>
      <c r="Z33" s="515">
        <f>Aprēķini!Y$246+Aprēķini!Y$240*'Jutīguma analīze_IIA'!$B33</f>
        <v>11314.706593486257</v>
      </c>
      <c r="AA33" s="515">
        <f>Aprēķini!Z$246+Aprēķini!Z$240*'Jutīguma analīze_IIA'!$B33</f>
        <v>10976.32156931843</v>
      </c>
      <c r="AB33" s="515">
        <f>Aprēķini!AA$246+Aprēķini!AA$240*'Jutīguma analīze_IIA'!$B33</f>
        <v>11315.830747082087</v>
      </c>
      <c r="AC33" s="515">
        <f>Aprēķini!AB$246+Aprēķini!AB$240*'Jutīguma analīze_IIA'!$B33</f>
        <v>11133.094318811773</v>
      </c>
      <c r="AD33" s="515">
        <f>Aprēķini!AC$246+Aprēķini!AC$240*'Jutīguma analīze_IIA'!$B33</f>
        <v>12600.614689766639</v>
      </c>
      <c r="AE33" s="515">
        <f>Aprēķini!AD$246+Aprēķini!AD$240*'Jutīguma analīze_IIA'!$B33</f>
        <v>24828.160791996583</v>
      </c>
      <c r="AF33" s="515">
        <f>Aprēķini!AE$246+Aprēķini!AE$240*'Jutīguma analīze_IIA'!$B33</f>
        <v>24666.042816456596</v>
      </c>
      <c r="AG33" s="515">
        <f>Aprēķini!AF$246+Aprēķini!AF$240*'Jutīguma analīze_IIA'!$B33</f>
        <v>15733.160491230117</v>
      </c>
      <c r="AH33" s="515">
        <f>Aprēķini!AG$246+Aprēķini!AG$240*'Jutīguma analīze_IIA'!$B33</f>
        <v>550557.37686256832</v>
      </c>
      <c r="AI33" s="515">
        <f>Aprēķini!AH$246+Aprēķini!AH$240*'Jutīguma analīze_IIA'!$B33</f>
        <v>15535.543233906601</v>
      </c>
    </row>
    <row r="34" spans="1:35" ht="12.75" x14ac:dyDescent="0.2">
      <c r="A34" s="642"/>
      <c r="B34" s="115">
        <v>-0.05</v>
      </c>
      <c r="C34" s="515">
        <f>Aprēķini!B$246+Aprēķini!B$240*'Jutīguma analīze_IIA'!$B34</f>
        <v>-1242.5840000000001</v>
      </c>
      <c r="D34" s="515">
        <f>Aprēķini!C$246+Aprēķini!C$240*'Jutīguma analīze_IIA'!$B34</f>
        <v>-1642.7779573968703</v>
      </c>
      <c r="E34" s="515">
        <f>Aprēķini!D$246+Aprēķini!D$240*'Jutīguma analīze_IIA'!$B34</f>
        <v>1021.4344106544095</v>
      </c>
      <c r="F34" s="515">
        <f>Aprēķini!E$246+Aprēķini!E$240*'Jutīguma analīze_IIA'!$B34</f>
        <v>7332.9534839662438</v>
      </c>
      <c r="G34" s="515">
        <f>Aprēķini!F$246+Aprēķini!F$240*'Jutīguma analīze_IIA'!$B34</f>
        <v>7181.2832380583586</v>
      </c>
      <c r="H34" s="515">
        <f>Aprēķini!G$246+Aprēķini!G$240*'Jutīguma analīze_IIA'!$B34</f>
        <v>7578.4425071219721</v>
      </c>
      <c r="I34" s="515">
        <f>Aprēķini!H$246+Aprēķini!H$240*'Jutīguma analīze_IIA'!$B34</f>
        <v>7543.2403703303726</v>
      </c>
      <c r="J34" s="515">
        <f>Aprēķini!I$246+Aprēķini!I$240*'Jutīguma analīze_IIA'!$B34</f>
        <v>7196.1922474987368</v>
      </c>
      <c r="K34" s="515">
        <f>Aprēķini!J$246+Aprēķini!J$240*'Jutīguma analīze_IIA'!$B34</f>
        <v>11136.896503899932</v>
      </c>
      <c r="L34" s="515">
        <f>Aprēķini!K$246+Aprēķini!K$240*'Jutīguma analīze_IIA'!$B34</f>
        <v>11451.500680386209</v>
      </c>
      <c r="M34" s="515">
        <f>Aprēķini!L$246+Aprēķini!L$240*'Jutīguma analīze_IIA'!$B34</f>
        <v>11202.034780870918</v>
      </c>
      <c r="N34" s="515">
        <f>Aprēķini!M$246+Aprēķini!M$240*'Jutīguma analīze_IIA'!$B34</f>
        <v>11282.078634755047</v>
      </c>
      <c r="O34" s="515">
        <f>Aprēķini!N$246+Aprēķini!N$240*'Jutīguma analīze_IIA'!$B34</f>
        <v>11031.11994272077</v>
      </c>
      <c r="P34" s="515">
        <f>Aprēķini!O$246+Aprēķini!O$240*'Jutīguma analīze_IIA'!$B34</f>
        <v>6375.6736355893891</v>
      </c>
      <c r="Q34" s="515">
        <f>Aprēķini!P$246+Aprēķini!P$240*'Jutīguma analīze_IIA'!$B34</f>
        <v>6333.3638760528593</v>
      </c>
      <c r="R34" s="515">
        <f>Aprēķini!Q$246+Aprēķini!Q$240*'Jutīguma analīze_IIA'!$B34</f>
        <v>8927.1321437135448</v>
      </c>
      <c r="S34" s="515">
        <f>Aprēķini!R$246+Aprēķini!R$240*'Jutīguma analīze_IIA'!$B34</f>
        <v>8718.6646393877127</v>
      </c>
      <c r="T34" s="515">
        <f>Aprēķini!S$246+Aprēķini!S$240*'Jutīguma analīze_IIA'!$B34</f>
        <v>12888.875677471924</v>
      </c>
      <c r="U34" s="515">
        <f>Aprēķini!T$246+Aprēķini!T$240*'Jutīguma analīze_IIA'!$B34</f>
        <v>8454.5133141973183</v>
      </c>
      <c r="V34" s="515">
        <f>Aprēķini!U$246+Aprēķini!U$240*'Jutīguma analīze_IIA'!$B34</f>
        <v>8652.6938012612845</v>
      </c>
      <c r="W34" s="515">
        <f>Aprēķini!V$246+Aprēķini!V$240*'Jutīguma analīze_IIA'!$B34</f>
        <v>8772.149960133318</v>
      </c>
      <c r="X34" s="515">
        <f>Aprēķini!W$246+Aprēķini!W$240*'Jutīguma analīze_IIA'!$B34</f>
        <v>8790.8206937975738</v>
      </c>
      <c r="Y34" s="515">
        <f>Aprēķini!X$246+Aprēķini!X$240*'Jutīguma analīze_IIA'!$B34</f>
        <v>11444.076662139907</v>
      </c>
      <c r="Z34" s="515">
        <f>Aprēķini!Y$246+Aprēķini!Y$240*'Jutīguma analīze_IIA'!$B34</f>
        <v>11462.747395804503</v>
      </c>
      <c r="AA34" s="515">
        <f>Aprēķini!Z$246+Aprēķini!Z$240*'Jutīguma analīze_IIA'!$B34</f>
        <v>11150.415583550302</v>
      </c>
      <c r="AB34" s="515">
        <f>Aprēķini!AA$246+Aprēķini!AA$240*'Jutīguma analīze_IIA'!$B34</f>
        <v>11498.59607061395</v>
      </c>
      <c r="AC34" s="515">
        <f>Aprēķini!AB$246+Aprēķini!AB$240*'Jutīguma analīze_IIA'!$B34</f>
        <v>11281.213689157325</v>
      </c>
      <c r="AD34" s="515">
        <f>Aprēķini!AC$246+Aprēķini!AC$240*'Jutīguma analīze_IIA'!$B34</f>
        <v>11794.850753099592</v>
      </c>
      <c r="AE34" s="515">
        <f>Aprēķini!AD$246+Aprēķini!AD$240*'Jutīguma analīze_IIA'!$B34</f>
        <v>21557.230837258601</v>
      </c>
      <c r="AF34" s="515">
        <f>Aprēķini!AE$246+Aprēķini!AE$240*'Jutīguma analīze_IIA'!$B34</f>
        <v>21308.399768718704</v>
      </c>
      <c r="AG34" s="515">
        <f>Aprēķini!AF$246+Aprēķini!AF$240*'Jutīguma analīze_IIA'!$B34</f>
        <v>12558.675607160603</v>
      </c>
      <c r="AH34" s="515">
        <f>Aprēķini!AG$246+Aprēķini!AG$240*'Jutīguma analīze_IIA'!$B34</f>
        <v>533623.56043199892</v>
      </c>
      <c r="AI34" s="515">
        <f>Aprēķini!AH$246+Aprēķini!AH$240*'Jutīguma analīze_IIA'!$B34</f>
        <v>12274.345256837183</v>
      </c>
    </row>
    <row r="35" spans="1:35" ht="12.75" x14ac:dyDescent="0.2">
      <c r="A35" s="642"/>
      <c r="B35" s="115">
        <v>-7.4999999999999997E-2</v>
      </c>
      <c r="C35" s="515">
        <f>Aprēķini!B$246+Aprēķini!B$240*'Jutīguma analīze_IIA'!$B35</f>
        <v>-1242.5840000000001</v>
      </c>
      <c r="D35" s="515">
        <f>Aprēķini!C$246+Aprēķini!C$240*'Jutīguma analīze_IIA'!$B35</f>
        <v>-1642.7779573968703</v>
      </c>
      <c r="E35" s="515">
        <f>Aprēķini!D$246+Aprēķini!D$240*'Jutīguma analīze_IIA'!$B35</f>
        <v>934.73614915610597</v>
      </c>
      <c r="F35" s="515">
        <f>Aprēķini!E$246+Aprēķini!E$240*'Jutīguma analīze_IIA'!$B35</f>
        <v>6814.6614122819628</v>
      </c>
      <c r="G35" s="515">
        <f>Aprēķini!F$246+Aprēķini!F$240*'Jutīguma analīze_IIA'!$B35</f>
        <v>6647.5175062863191</v>
      </c>
      <c r="H35" s="515">
        <f>Aprēķini!G$246+Aprēķini!G$240*'Jutīguma analīze_IIA'!$B35</f>
        <v>7014.1450939396109</v>
      </c>
      <c r="I35" s="515">
        <f>Aprēķini!H$246+Aprēķini!H$240*'Jutīguma analīze_IIA'!$B35</f>
        <v>6979.4481297763896</v>
      </c>
      <c r="J35" s="515">
        <f>Aprēķini!I$246+Aprēķini!I$240*'Jutīguma analīze_IIA'!$B35</f>
        <v>6641.1106002583965</v>
      </c>
      <c r="K35" s="515">
        <f>Aprēķini!J$246+Aprēķini!J$240*'Jutīguma analīze_IIA'!$B35</f>
        <v>10477.719861046053</v>
      </c>
      <c r="L35" s="515">
        <f>Aprēķini!K$246+Aprēķini!K$240*'Jutīguma analīze_IIA'!$B35</f>
        <v>10783.652728232344</v>
      </c>
      <c r="M35" s="515">
        <f>Aprēķini!L$246+Aprēķini!L$240*'Jutīguma analīze_IIA'!$B35</f>
        <v>10482.158972917106</v>
      </c>
      <c r="N35" s="515">
        <f>Aprēķini!M$246+Aprēķini!M$240*'Jutīguma analīze_IIA'!$B35</f>
        <v>10501.503661701305</v>
      </c>
      <c r="O35" s="515">
        <f>Aprēķini!N$246+Aprēķini!N$240*'Jutīguma analīze_IIA'!$B35</f>
        <v>10198.55639788074</v>
      </c>
      <c r="P35" s="515">
        <f>Aprēķini!O$246+Aprēķini!O$240*'Jutīguma analīze_IIA'!$B35</f>
        <v>5664.5084209492252</v>
      </c>
      <c r="Q35" s="515">
        <f>Aprēķini!P$246+Aprēķini!P$240*'Jutīguma analīze_IIA'!$B35</f>
        <v>5622.1986614126936</v>
      </c>
      <c r="R35" s="515">
        <f>Aprēķini!Q$246+Aprēķini!Q$240*'Jutīguma analīze_IIA'!$B35</f>
        <v>8146.5964546734522</v>
      </c>
      <c r="S35" s="515">
        <f>Aprēķini!R$246+Aprēķini!R$240*'Jutīguma analīze_IIA'!$B35</f>
        <v>8632.5015225789175</v>
      </c>
      <c r="T35" s="515">
        <f>Aprēķini!S$246+Aprēķini!S$240*'Jutīguma analīze_IIA'!$B35</f>
        <v>12706.856750199426</v>
      </c>
      <c r="U35" s="515">
        <f>Aprēķini!T$246+Aprēķini!T$240*'Jutīguma analīze_IIA'!$B35</f>
        <v>8403.0747186021381</v>
      </c>
      <c r="V35" s="515">
        <f>Aprēķini!U$246+Aprēķini!U$240*'Jutīguma analīze_IIA'!$B35</f>
        <v>8609.9265149660932</v>
      </c>
      <c r="W35" s="515">
        <f>Aprēķini!V$246+Aprēķini!V$240*'Jutīguma analīze_IIA'!$B35</f>
        <v>8937.4940970378993</v>
      </c>
      <c r="X35" s="515">
        <f>Aprēķini!W$246+Aprēķini!W$240*'Jutīguma analīze_IIA'!$B35</f>
        <v>8973.5074493021366</v>
      </c>
      <c r="Y35" s="515">
        <f>Aprēķini!X$246+Aprēķini!X$240*'Jutīguma analīze_IIA'!$B35</f>
        <v>11574.774845858181</v>
      </c>
      <c r="Z35" s="515">
        <f>Aprēķini!Y$246+Aprēķini!Y$240*'Jutīguma analīze_IIA'!$B35</f>
        <v>11610.788198122751</v>
      </c>
      <c r="AA35" s="515">
        <f>Aprēķini!Z$246+Aprēķini!Z$240*'Jutīguma analīze_IIA'!$B35</f>
        <v>11324.509597782173</v>
      </c>
      <c r="AB35" s="515">
        <f>Aprēķini!AA$246+Aprēķini!AA$240*'Jutīguma analīze_IIA'!$B35</f>
        <v>11681.361394145815</v>
      </c>
      <c r="AC35" s="515">
        <f>Aprēķini!AB$246+Aprēķini!AB$240*'Jutīguma analīze_IIA'!$B35</f>
        <v>11429.333059502875</v>
      </c>
      <c r="AD35" s="515">
        <f>Aprēķini!AC$246+Aprēķini!AC$240*'Jutīguma analīze_IIA'!$B35</f>
        <v>10989.086816432546</v>
      </c>
      <c r="AE35" s="515">
        <f>Aprēķini!AD$246+Aprēķini!AD$240*'Jutīguma analīze_IIA'!$B35</f>
        <v>18286.30088252062</v>
      </c>
      <c r="AF35" s="515">
        <f>Aprēķini!AE$246+Aprēķini!AE$240*'Jutīguma analīze_IIA'!$B35</f>
        <v>17950.756720980815</v>
      </c>
      <c r="AG35" s="515">
        <f>Aprēķini!AF$246+Aprēķini!AF$240*'Jutīguma analīze_IIA'!$B35</f>
        <v>9384.1907230910892</v>
      </c>
      <c r="AH35" s="515">
        <f>Aprēķini!AG$246+Aprēķini!AG$240*'Jutīguma analīze_IIA'!$B35</f>
        <v>516689.74400142941</v>
      </c>
      <c r="AI35" s="515">
        <f>Aprēķini!AH$246+Aprēķini!AH$240*'Jutīguma analīze_IIA'!$B35</f>
        <v>9013.147279767767</v>
      </c>
    </row>
    <row r="36" spans="1:35" ht="12.75" x14ac:dyDescent="0.2">
      <c r="A36" s="643"/>
      <c r="B36" s="115">
        <v>-0.1</v>
      </c>
      <c r="C36" s="515">
        <f>Aprēķini!B$246+Aprēķini!B$240*'Jutīguma analīze_IIA'!$B36</f>
        <v>-1242.5840000000001</v>
      </c>
      <c r="D36" s="515">
        <f>Aprēķini!C$246+Aprēķini!C$240*'Jutīguma analīze_IIA'!$B36</f>
        <v>-1642.7779573968703</v>
      </c>
      <c r="E36" s="515">
        <f>Aprēķini!D$246+Aprēķini!D$240*'Jutīguma analīze_IIA'!$B36</f>
        <v>848.03788765780246</v>
      </c>
      <c r="F36" s="515">
        <f>Aprēķini!E$246+Aprēķini!E$240*'Jutīguma analīze_IIA'!$B36</f>
        <v>6296.3693405976828</v>
      </c>
      <c r="G36" s="515">
        <f>Aprēķini!F$246+Aprēķini!F$240*'Jutīguma analīze_IIA'!$B36</f>
        <v>6113.7517745142795</v>
      </c>
      <c r="H36" s="515">
        <f>Aprēķini!G$246+Aprēķini!G$240*'Jutīguma analīze_IIA'!$B36</f>
        <v>6449.8476807572506</v>
      </c>
      <c r="I36" s="515">
        <f>Aprēķini!H$246+Aprēķini!H$240*'Jutīguma analīze_IIA'!$B36</f>
        <v>6415.6558892224075</v>
      </c>
      <c r="J36" s="515">
        <f>Aprēķini!I$246+Aprēķini!I$240*'Jutīguma analīze_IIA'!$B36</f>
        <v>6086.0289530180562</v>
      </c>
      <c r="K36" s="515">
        <f>Aprēķini!J$246+Aprēķini!J$240*'Jutīguma analīze_IIA'!$B36</f>
        <v>9818.5432181921751</v>
      </c>
      <c r="L36" s="515">
        <f>Aprēķini!K$246+Aprēķini!K$240*'Jutīguma analīze_IIA'!$B36</f>
        <v>10115.804776078478</v>
      </c>
      <c r="M36" s="515">
        <f>Aprēķini!L$246+Aprēķini!L$240*'Jutīguma analīze_IIA'!$B36</f>
        <v>9762.2831649632972</v>
      </c>
      <c r="N36" s="515">
        <f>Aprēķini!M$246+Aprēķini!M$240*'Jutīguma analīze_IIA'!$B36</f>
        <v>9720.9286886475638</v>
      </c>
      <c r="O36" s="515">
        <f>Aprēķini!N$246+Aprēķini!N$240*'Jutīguma analīze_IIA'!$B36</f>
        <v>9365.9928530407087</v>
      </c>
      <c r="P36" s="515">
        <f>Aprēķini!O$246+Aprēķini!O$240*'Jutīguma analīze_IIA'!$B36</f>
        <v>4953.3432063090604</v>
      </c>
      <c r="Q36" s="515">
        <f>Aprēķini!P$246+Aprēķini!P$240*'Jutīguma analīze_IIA'!$B36</f>
        <v>4911.033446772527</v>
      </c>
      <c r="R36" s="515">
        <f>Aprēķini!Q$246+Aprēķini!Q$240*'Jutīguma analīze_IIA'!$B36</f>
        <v>7366.0607656333596</v>
      </c>
      <c r="S36" s="515">
        <f>Aprēķini!R$246+Aprēķini!R$240*'Jutīguma analīze_IIA'!$B36</f>
        <v>8546.3384057701242</v>
      </c>
      <c r="T36" s="515">
        <f>Aprēķini!S$246+Aprēķini!S$240*'Jutīguma analīze_IIA'!$B36</f>
        <v>12524.837822926929</v>
      </c>
      <c r="U36" s="515">
        <f>Aprēķini!T$246+Aprēķini!T$240*'Jutīguma analīze_IIA'!$B36</f>
        <v>8351.636123006956</v>
      </c>
      <c r="V36" s="515">
        <f>Aprēķini!U$246+Aprēķini!U$240*'Jutīguma analīze_IIA'!$B36</f>
        <v>8567.1592286709001</v>
      </c>
      <c r="W36" s="515">
        <f>Aprēķini!V$246+Aprēķini!V$240*'Jutīguma analīze_IIA'!$B36</f>
        <v>9102.8382339424825</v>
      </c>
      <c r="X36" s="515">
        <f>Aprēķini!W$246+Aprēķini!W$240*'Jutīguma analīze_IIA'!$B36</f>
        <v>9156.1942048066994</v>
      </c>
      <c r="Y36" s="515">
        <f>Aprēķini!X$246+Aprēķini!X$240*'Jutīguma analīze_IIA'!$B36</f>
        <v>11705.473029576453</v>
      </c>
      <c r="Z36" s="515">
        <f>Aprēķini!Y$246+Aprēķini!Y$240*'Jutīguma analīze_IIA'!$B36</f>
        <v>11758.829000440997</v>
      </c>
      <c r="AA36" s="515">
        <f>Aprēķini!Z$246+Aprēķini!Z$240*'Jutīguma analīze_IIA'!$B36</f>
        <v>11498.603612014045</v>
      </c>
      <c r="AB36" s="515">
        <f>Aprēķini!AA$246+Aprēķini!AA$240*'Jutīguma analīze_IIA'!$B36</f>
        <v>11864.12671767768</v>
      </c>
      <c r="AC36" s="515">
        <f>Aprēķini!AB$246+Aprēķini!AB$240*'Jutīguma analīze_IIA'!$B36</f>
        <v>11577.452429848427</v>
      </c>
      <c r="AD36" s="515">
        <f>Aprēķini!AC$246+Aprēķini!AC$240*'Jutīguma analīze_IIA'!$B36</f>
        <v>10183.322879765499</v>
      </c>
      <c r="AE36" s="515">
        <f>Aprēķini!AD$246+Aprēķini!AD$240*'Jutīguma analīze_IIA'!$B36</f>
        <v>15015.370927782635</v>
      </c>
      <c r="AF36" s="515">
        <f>Aprēķini!AE$246+Aprēķini!AE$240*'Jutīguma analīze_IIA'!$B36</f>
        <v>14593.113673242922</v>
      </c>
      <c r="AG36" s="515">
        <f>Aprēķini!AF$246+Aprēķini!AF$240*'Jutīguma analīze_IIA'!$B36</f>
        <v>6209.7058390215734</v>
      </c>
      <c r="AH36" s="515">
        <f>Aprēķini!AG$246+Aprēķini!AG$240*'Jutīguma analīze_IIA'!$B36</f>
        <v>499755.92757085996</v>
      </c>
      <c r="AI36" s="515">
        <f>Aprēķini!AH$246+Aprēķini!AH$240*'Jutīguma analīze_IIA'!$B36</f>
        <v>5751.9493026983473</v>
      </c>
    </row>
    <row r="37" spans="1:35" ht="12.75" x14ac:dyDescent="0.2">
      <c r="A37" s="504"/>
      <c r="B37" s="504"/>
      <c r="C37" s="504"/>
    </row>
    <row r="38" spans="1:35" ht="25.5" x14ac:dyDescent="0.2">
      <c r="A38" s="513"/>
      <c r="B38" s="514" t="s">
        <v>184</v>
      </c>
      <c r="C38" s="514">
        <f t="shared" ref="C38:AI38" si="0">C13</f>
        <v>2017</v>
      </c>
      <c r="D38" s="514">
        <f t="shared" si="0"/>
        <v>2018</v>
      </c>
      <c r="E38" s="514">
        <f t="shared" si="0"/>
        <v>2019</v>
      </c>
      <c r="F38" s="514">
        <f t="shared" si="0"/>
        <v>2020</v>
      </c>
      <c r="G38" s="514">
        <f t="shared" si="0"/>
        <v>2021</v>
      </c>
      <c r="H38" s="514">
        <f t="shared" si="0"/>
        <v>2022</v>
      </c>
      <c r="I38" s="514">
        <f t="shared" si="0"/>
        <v>2023</v>
      </c>
      <c r="J38" s="514">
        <f t="shared" si="0"/>
        <v>2024</v>
      </c>
      <c r="K38" s="514">
        <f t="shared" si="0"/>
        <v>2025</v>
      </c>
      <c r="L38" s="514">
        <f t="shared" si="0"/>
        <v>2026</v>
      </c>
      <c r="M38" s="514">
        <f t="shared" si="0"/>
        <v>2027</v>
      </c>
      <c r="N38" s="514">
        <f t="shared" si="0"/>
        <v>2028</v>
      </c>
      <c r="O38" s="514">
        <f t="shared" si="0"/>
        <v>2029</v>
      </c>
      <c r="P38" s="514">
        <f t="shared" si="0"/>
        <v>2030</v>
      </c>
      <c r="Q38" s="514">
        <f t="shared" si="0"/>
        <v>2031</v>
      </c>
      <c r="R38" s="514">
        <f t="shared" si="0"/>
        <v>2032</v>
      </c>
      <c r="S38" s="514">
        <f t="shared" si="0"/>
        <v>2033</v>
      </c>
      <c r="T38" s="514">
        <f t="shared" si="0"/>
        <v>2034</v>
      </c>
      <c r="U38" s="514">
        <f t="shared" si="0"/>
        <v>2035</v>
      </c>
      <c r="V38" s="514">
        <f t="shared" si="0"/>
        <v>2036</v>
      </c>
      <c r="W38" s="514">
        <f t="shared" si="0"/>
        <v>2037</v>
      </c>
      <c r="X38" s="514">
        <f t="shared" si="0"/>
        <v>2038</v>
      </c>
      <c r="Y38" s="514">
        <f t="shared" si="0"/>
        <v>2039</v>
      </c>
      <c r="Z38" s="514">
        <f t="shared" si="0"/>
        <v>2040</v>
      </c>
      <c r="AA38" s="514">
        <f t="shared" si="0"/>
        <v>2041</v>
      </c>
      <c r="AB38" s="514">
        <f t="shared" si="0"/>
        <v>2042</v>
      </c>
      <c r="AC38" s="514">
        <f t="shared" si="0"/>
        <v>2043</v>
      </c>
      <c r="AD38" s="514">
        <f t="shared" si="0"/>
        <v>2044</v>
      </c>
      <c r="AE38" s="514">
        <f t="shared" si="0"/>
        <v>2045</v>
      </c>
      <c r="AF38" s="514">
        <f t="shared" si="0"/>
        <v>2046</v>
      </c>
      <c r="AG38" s="514">
        <f t="shared" si="0"/>
        <v>2047</v>
      </c>
      <c r="AH38" s="514">
        <f t="shared" si="0"/>
        <v>2048</v>
      </c>
      <c r="AI38" s="514">
        <f t="shared" si="0"/>
        <v>2049</v>
      </c>
    </row>
    <row r="39" spans="1:35" ht="12.75" x14ac:dyDescent="0.2">
      <c r="A39" s="792" t="s">
        <v>143</v>
      </c>
      <c r="B39" s="777"/>
      <c r="C39" s="777"/>
      <c r="D39" s="777"/>
      <c r="E39" s="777"/>
      <c r="F39" s="777"/>
      <c r="G39" s="777"/>
      <c r="H39" s="777"/>
      <c r="I39" s="777"/>
      <c r="J39" s="777"/>
      <c r="K39" s="777"/>
      <c r="L39" s="777"/>
      <c r="M39" s="777"/>
      <c r="N39" s="777"/>
      <c r="O39" s="777"/>
      <c r="P39" s="777"/>
      <c r="Q39" s="777"/>
      <c r="R39" s="777"/>
      <c r="S39" s="777"/>
      <c r="T39" s="777"/>
      <c r="U39" s="777"/>
      <c r="V39" s="777"/>
      <c r="W39" s="777"/>
      <c r="X39" s="777"/>
      <c r="Y39" s="777"/>
      <c r="Z39" s="777"/>
      <c r="AA39" s="777"/>
      <c r="AB39" s="777"/>
      <c r="AC39" s="777"/>
      <c r="AD39" s="777"/>
      <c r="AE39" s="777"/>
      <c r="AF39" s="777"/>
      <c r="AG39" s="777"/>
      <c r="AH39" s="777"/>
      <c r="AI39" s="777"/>
    </row>
    <row r="40" spans="1:35" ht="12.75" x14ac:dyDescent="0.2">
      <c r="A40" s="113" t="s">
        <v>185</v>
      </c>
      <c r="B40" s="115">
        <v>0.1</v>
      </c>
      <c r="C40" s="515">
        <f>Aprēķini!B$194+Aprēķini!B$193*'Jutīguma analīze_IIA'!$B40</f>
        <v>-532632.42000000004</v>
      </c>
      <c r="D40" s="515">
        <f>Aprēķini!C$194+Aprēķini!C$193*'Jutīguma analīze_IIA'!$B40</f>
        <v>-315648.5975616572</v>
      </c>
      <c r="E40" s="515">
        <f>Aprēķini!D$194+Aprēķini!D$193*'Jutīguma analīze_IIA'!$B40</f>
        <v>-468166.36361372087</v>
      </c>
      <c r="F40" s="515">
        <f>Aprēķini!E$194+Aprēķini!E$193*'Jutīguma analīze_IIA'!$B40</f>
        <v>19395.624836338447</v>
      </c>
      <c r="G40" s="515">
        <f>Aprēķini!F$194+Aprēķini!F$193*'Jutīguma analīze_IIA'!$B40</f>
        <v>19312.956334030354</v>
      </c>
      <c r="H40" s="515">
        <f>Aprēķini!G$194+Aprēķini!G$193*'Jutīguma analīze_IIA'!$B40</f>
        <v>19811.570918867466</v>
      </c>
      <c r="I40" s="515">
        <f>Aprēķini!H$194+Aprēķini!H$193*'Jutīguma analīze_IIA'!$B40</f>
        <v>19741.046485010433</v>
      </c>
      <c r="J40" s="515">
        <f>Aprēķini!I$194+Aprēķini!I$193*'Jutīguma analīze_IIA'!$B40</f>
        <v>19342.269223742835</v>
      </c>
      <c r="K40" s="515">
        <f>Aprēķini!J$194+Aprēķini!J$193*'Jutīguma analīze_IIA'!$B40</f>
        <v>23456.741519562434</v>
      </c>
      <c r="L40" s="515">
        <f>Aprēķini!K$194+Aprēķini!K$193*'Jutīguma analīze_IIA'!$B40</f>
        <v>23754.266362840011</v>
      </c>
      <c r="M40" s="515">
        <f>Aprēķini!L$194+Aprēķini!L$193*'Jutīguma analīze_IIA'!$B40</f>
        <v>23795.596107415924</v>
      </c>
      <c r="N40" s="515">
        <f>Aprēķini!M$194+Aprēķini!M$193*'Jutīguma analīze_IIA'!$B40</f>
        <v>24183.778223991245</v>
      </c>
      <c r="O40" s="515">
        <f>Aprēķini!N$194+Aprēķini!N$193*'Jutīguma analīze_IIA'!$B40</f>
        <v>24223.536608020873</v>
      </c>
      <c r="P40" s="515">
        <f>Aprēķini!O$194+Aprēķini!O$193*'Jutīguma analīze_IIA'!$B40</f>
        <v>19293.612106943401</v>
      </c>
      <c r="Q40" s="515">
        <f>Aprēķini!P$194+Aprēķini!P$193*'Jutīguma analīze_IIA'!$B40</f>
        <v>19219.620813860536</v>
      </c>
      <c r="R40" s="515">
        <f>Aprēķini!Q$194+Aprēķini!Q$193*'Jutīguma analīze_IIA'!$B40</f>
        <v>21920.448496774727</v>
      </c>
      <c r="S40" s="515">
        <f>Aprēķini!R$194+Aprēķini!R$193*'Jutīguma analīze_IIA'!$B40</f>
        <v>17669.554314439945</v>
      </c>
      <c r="T40" s="515">
        <f>Aprēķini!S$194+Aprēķini!S$193*'Jutīguma analīze_IIA'!$B40</f>
        <v>21942.795439905218</v>
      </c>
      <c r="U40" s="515">
        <f>Aprēķini!T$194+Aprēķini!T$193*'Jutīguma analīze_IIA'!$B40</f>
        <v>17158.590879729636</v>
      </c>
      <c r="V40" s="515">
        <f>Aprēķini!U$194+Aprēķini!U$193*'Jutīguma analīze_IIA'!$B40</f>
        <v>17250.747214647265</v>
      </c>
      <c r="W40" s="515">
        <f>Aprēķini!V$194+Aprēķini!V$193*'Jutīguma analīze_IIA'!$B40</f>
        <v>16115.298993573408</v>
      </c>
      <c r="X40" s="515">
        <f>Aprēķini!W$194+Aprēķini!W$193*'Jutīguma analīze_IIA'!$B40</f>
        <v>15995.602956491352</v>
      </c>
      <c r="Y40" s="515">
        <f>Aprēķini!X$194+Aprēķini!X$193*'Jutīguma analīze_IIA'!$B40</f>
        <v>18649.154534859932</v>
      </c>
      <c r="Z40" s="515">
        <f>Aprēķini!Y$194+Aprēķini!Y$193*'Jutīguma analīze_IIA'!$B40</f>
        <v>18529.458497778218</v>
      </c>
      <c r="AA40" s="515">
        <f>Aprēķini!Z$194+Aprēķini!Z$193*'Jutīguma analīze_IIA'!$B40</f>
        <v>18061.338728150418</v>
      </c>
      <c r="AB40" s="515">
        <f>Aprēķini!AA$194+Aprēķini!AA$193*'Jutīguma analīze_IIA'!$B40</f>
        <v>18288.495063067741</v>
      </c>
      <c r="AC40" s="515">
        <f>Aprēķini!AB$194+Aprēķini!AB$193*'Jutīguma analīze_IIA'!$B40</f>
        <v>18257.884938737388</v>
      </c>
      <c r="AD40" s="515">
        <f>Aprēķini!AC$194+Aprēķini!AC$193*'Jutīguma analīze_IIA'!$B40</f>
        <v>24216.768967458498</v>
      </c>
      <c r="AE40" s="515">
        <f>Aprēķini!AD$194+Aprēķini!AD$193*'Jutīguma analīze_IIA'!$B40</f>
        <v>47264.961438513033</v>
      </c>
      <c r="AF40" s="515">
        <f>Aprēķini!AE$194+Aprēķini!AE$193*'Jutīguma analīze_IIA'!$B40</f>
        <v>47508.036906726586</v>
      </c>
      <c r="AG40" s="515">
        <f>Aprēķini!AF$194+Aprēķini!AF$193*'Jutīguma analīze_IIA'!$B40</f>
        <v>38535.055302547713</v>
      </c>
      <c r="AH40" s="515">
        <f>Aprēķini!AG$194+Aprēķini!AG$193*'Jutīguma analīze_IIA'!$B40</f>
        <v>587261.66210510186</v>
      </c>
      <c r="AI40" s="515">
        <f>Aprēķini!AH$194+Aprēķini!AH$193*'Jutīguma analīze_IIA'!$B40</f>
        <v>38710.268907656078</v>
      </c>
    </row>
    <row r="41" spans="1:35" ht="12.75" x14ac:dyDescent="0.2">
      <c r="A41" s="638"/>
      <c r="B41" s="115">
        <v>7.4999999999999997E-2</v>
      </c>
      <c r="C41" s="515">
        <f>Aprēķini!B$194+Aprēķini!B$193*'Jutīguma analīze_IIA'!$B41</f>
        <v>-547427.76500000001</v>
      </c>
      <c r="D41" s="515">
        <f>Aprēķini!C$194+Aprēķini!C$193*'Jutīguma analīze_IIA'!$B41</f>
        <v>-324416.61416059209</v>
      </c>
      <c r="E41" s="515">
        <f>Aprēķini!D$194+Aprēķini!D$193*'Jutīguma analīze_IIA'!$B41</f>
        <v>-481267.31622687791</v>
      </c>
      <c r="F41" s="515">
        <f>Aprēķini!E$194+Aprēķini!E$193*'Jutīguma analīze_IIA'!$B41</f>
        <v>19358.512113254204</v>
      </c>
      <c r="G41" s="515">
        <f>Aprēķini!F$194+Aprēķini!F$193*'Jutīguma analīze_IIA'!$B41</f>
        <v>19256.354308006707</v>
      </c>
      <c r="H41" s="515">
        <f>Aprēķini!G$194+Aprēķini!G$193*'Jutīguma analīze_IIA'!$B41</f>
        <v>19734.895207522273</v>
      </c>
      <c r="I41" s="515">
        <f>Aprēķini!H$194+Aprēķini!H$193*'Jutīguma analīze_IIA'!$B41</f>
        <v>19662.973064534075</v>
      </c>
      <c r="J41" s="515">
        <f>Aprēķini!I$194+Aprēķini!I$193*'Jutīguma analīze_IIA'!$B41</f>
        <v>19262.797094135312</v>
      </c>
      <c r="K41" s="515">
        <f>Aprēķini!J$194+Aprēķini!J$193*'Jutīguma analīze_IIA'!$B41</f>
        <v>23375.899180823748</v>
      </c>
      <c r="L41" s="515">
        <f>Aprēķini!K$194+Aprēķini!K$193*'Jutīguma analīze_IIA'!$B41</f>
        <v>23672.053814970161</v>
      </c>
      <c r="M41" s="515">
        <f>Aprēķini!L$194+Aprēķini!L$193*'Jutīguma analīze_IIA'!$B41</f>
        <v>23656.722879339912</v>
      </c>
      <c r="N41" s="515">
        <f>Aprēķini!M$194+Aprēķini!M$193*'Jutīguma analīze_IIA'!$B41</f>
        <v>23988.244315709067</v>
      </c>
      <c r="O41" s="515">
        <f>Aprēķini!N$194+Aprēķini!N$193*'Jutīguma analīze_IIA'!$B41</f>
        <v>23971.342019532527</v>
      </c>
      <c r="P41" s="515">
        <f>Aprēķini!O$194+Aprēķini!O$193*'Jutīguma analīze_IIA'!$B41</f>
        <v>19039.362204758312</v>
      </c>
      <c r="Q41" s="515">
        <f>Aprēķini!P$194+Aprēķini!P$193*'Jutīguma analīze_IIA'!$B41</f>
        <v>18963.315597978701</v>
      </c>
      <c r="R41" s="515">
        <f>Aprēķini!Q$194+Aprēķini!Q$193*'Jutīguma analīze_IIA'!$B41</f>
        <v>21662.087967196145</v>
      </c>
      <c r="S41" s="515">
        <f>Aprēķini!R$194+Aprēķini!R$193*'Jutīguma analīze_IIA'!$B41</f>
        <v>18064.638471164617</v>
      </c>
      <c r="T41" s="515">
        <f>Aprēķini!S$194+Aprēķini!S$193*'Jutīguma analīze_IIA'!$B41</f>
        <v>22350.074282933143</v>
      </c>
      <c r="U41" s="515">
        <f>Aprēķini!T$194+Aprēķini!T$193*'Jutīguma analīze_IIA'!$B41</f>
        <v>17578.064409060815</v>
      </c>
      <c r="V41" s="515">
        <f>Aprēķini!U$194+Aprēķini!U$193*'Jutīguma analīze_IIA'!$B41</f>
        <v>17682.415430281697</v>
      </c>
      <c r="W41" s="515">
        <f>Aprēķini!V$194+Aprēķini!V$193*'Jutīguma analīze_IIA'!$B41</f>
        <v>16746.661895511093</v>
      </c>
      <c r="X41" s="515">
        <f>Aprēķini!W$194+Aprēķini!W$193*'Jutīguma analīze_IIA'!$B41</f>
        <v>16642.910544732291</v>
      </c>
      <c r="Y41" s="515">
        <f>Aprēķini!X$194+Aprēķini!X$193*'Jutīguma analīze_IIA'!$B41</f>
        <v>19312.406809404121</v>
      </c>
      <c r="Z41" s="515">
        <f>Aprēķini!Y$194+Aprēķini!Y$193*'Jutīguma analīze_IIA'!$B41</f>
        <v>19208.655458625664</v>
      </c>
      <c r="AA41" s="515">
        <f>Aprēķini!Z$194+Aprēķini!Z$193*'Jutīguma analīze_IIA'!$B41</f>
        <v>18756.480375301122</v>
      </c>
      <c r="AB41" s="515">
        <f>Aprēķini!AA$194+Aprēķini!AA$193*'Jutīguma analīze_IIA'!$B41</f>
        <v>18999.581396521695</v>
      </c>
      <c r="AC41" s="515">
        <f>Aprēķini!AB$194+Aprēķini!AB$193*'Jutīguma analīze_IIA'!$B41</f>
        <v>18929.625487419595</v>
      </c>
      <c r="AD41" s="515">
        <f>Aprēķini!AC$194+Aprēķini!AC$193*'Jutīguma analīze_IIA'!$B41</f>
        <v>23994.163731368961</v>
      </c>
      <c r="AE41" s="515">
        <f>Aprēķini!AD$194+Aprēķini!AD$193*'Jutīguma analīze_IIA'!$B41</f>
        <v>44943.510417651742</v>
      </c>
      <c r="AF41" s="515">
        <f>Aprēķini!AE$194+Aprēķini!AE$193*'Jutīguma analīze_IIA'!$B41</f>
        <v>45096.990101093557</v>
      </c>
      <c r="AG41" s="515">
        <f>Aprēķini!AF$194+Aprēķini!AF$193*'Jutīguma analīze_IIA'!$B41</f>
        <v>36078.268078652356</v>
      </c>
      <c r="AH41" s="515">
        <f>Aprēķini!AG$194+Aprēķini!AG$193*'Jutīguma analīze_IIA'!$B41</f>
        <v>584759.13446294423</v>
      </c>
      <c r="AI41" s="515">
        <f>Aprēķini!AH$194+Aprēķini!AH$193*'Jutīguma analīze_IIA'!$B41</f>
        <v>36162.000847236057</v>
      </c>
    </row>
    <row r="42" spans="1:35" ht="12.75" x14ac:dyDescent="0.2">
      <c r="A42" s="639"/>
      <c r="B42" s="115">
        <v>0.05</v>
      </c>
      <c r="C42" s="515">
        <f>Aprēķini!B$194+Aprēķini!B$193*'Jutīguma analīze_IIA'!$B42</f>
        <v>-562223.1100000001</v>
      </c>
      <c r="D42" s="515">
        <f>Aprēķini!C$194+Aprēķini!C$193*'Jutīguma analīze_IIA'!$B42</f>
        <v>-333184.63075952703</v>
      </c>
      <c r="E42" s="515">
        <f>Aprēķini!D$194+Aprēķini!D$193*'Jutīguma analīze_IIA'!$B42</f>
        <v>-494368.26884003496</v>
      </c>
      <c r="F42" s="515">
        <f>Aprēķini!E$194+Aprēķini!E$193*'Jutīguma analīze_IIA'!$B42</f>
        <v>19321.399390169958</v>
      </c>
      <c r="G42" s="515">
        <f>Aprēķini!F$194+Aprēķini!F$193*'Jutīguma analīze_IIA'!$B42</f>
        <v>19199.752281983063</v>
      </c>
      <c r="H42" s="515">
        <f>Aprēķini!G$194+Aprēķini!G$193*'Jutīguma analīze_IIA'!$B42</f>
        <v>19658.21949617708</v>
      </c>
      <c r="I42" s="515">
        <f>Aprēķini!H$194+Aprēķini!H$193*'Jutīguma analīze_IIA'!$B42</f>
        <v>19584.899644057718</v>
      </c>
      <c r="J42" s="515">
        <f>Aprēķini!I$194+Aprēķini!I$193*'Jutīguma analīze_IIA'!$B42</f>
        <v>19183.324964527794</v>
      </c>
      <c r="K42" s="515">
        <f>Aprēķini!J$194+Aprēķini!J$193*'Jutīguma analīze_IIA'!$B42</f>
        <v>23295.056842085061</v>
      </c>
      <c r="L42" s="515">
        <f>Aprēķini!K$194+Aprēķini!K$193*'Jutīguma analīze_IIA'!$B42</f>
        <v>23589.84126710031</v>
      </c>
      <c r="M42" s="515">
        <f>Aprēķini!L$194+Aprēķini!L$193*'Jutīguma analīze_IIA'!$B42</f>
        <v>23517.849651263899</v>
      </c>
      <c r="N42" s="515">
        <f>Aprēķini!M$194+Aprēķini!M$193*'Jutīguma analīze_IIA'!$B42</f>
        <v>23792.71040742689</v>
      </c>
      <c r="O42" s="515">
        <f>Aprēķini!N$194+Aprēķini!N$193*'Jutīguma analīze_IIA'!$B42</f>
        <v>23719.147431044184</v>
      </c>
      <c r="P42" s="515">
        <f>Aprēķini!O$194+Aprēķini!O$193*'Jutīguma analīze_IIA'!$B42</f>
        <v>18785.112302573223</v>
      </c>
      <c r="Q42" s="515">
        <f>Aprēķini!P$194+Aprēķini!P$193*'Jutīguma analīze_IIA'!$B42</f>
        <v>18707.010382096865</v>
      </c>
      <c r="R42" s="515">
        <f>Aprēķini!Q$194+Aprēķini!Q$193*'Jutīguma analīze_IIA'!$B42</f>
        <v>21403.727437617563</v>
      </c>
      <c r="S42" s="515">
        <f>Aprēķini!R$194+Aprēķini!R$193*'Jutīguma analīze_IIA'!$B42</f>
        <v>18459.722627889289</v>
      </c>
      <c r="T42" s="515">
        <f>Aprēķini!S$194+Aprēķini!S$193*'Jutīguma analīze_IIA'!$B42</f>
        <v>22757.353125961068</v>
      </c>
      <c r="U42" s="515">
        <f>Aprēķini!T$194+Aprēķini!T$193*'Jutīguma analīze_IIA'!$B42</f>
        <v>17997.537938391994</v>
      </c>
      <c r="V42" s="515">
        <f>Aprēķini!U$194+Aprēķini!U$193*'Jutīguma analīze_IIA'!$B42</f>
        <v>18114.083645916129</v>
      </c>
      <c r="W42" s="515">
        <f>Aprēķini!V$194+Aprēķini!V$193*'Jutīguma analīze_IIA'!$B42</f>
        <v>17378.024797448779</v>
      </c>
      <c r="X42" s="515">
        <f>Aprēķini!W$194+Aprēķini!W$193*'Jutīguma analīze_IIA'!$B42</f>
        <v>17290.21813297323</v>
      </c>
      <c r="Y42" s="515">
        <f>Aprēķini!X$194+Aprēķini!X$193*'Jutīguma analīze_IIA'!$B42</f>
        <v>19975.659083948311</v>
      </c>
      <c r="Z42" s="515">
        <f>Aprēķini!Y$194+Aprēķini!Y$193*'Jutīguma analīze_IIA'!$B42</f>
        <v>19887.852419473111</v>
      </c>
      <c r="AA42" s="515">
        <f>Aprēķini!Z$194+Aprēķini!Z$193*'Jutīguma analīze_IIA'!$B42</f>
        <v>19451.622022451822</v>
      </c>
      <c r="AB42" s="515">
        <f>Aprēķini!AA$194+Aprēķini!AA$193*'Jutīguma analīze_IIA'!$B42</f>
        <v>19710.667729975648</v>
      </c>
      <c r="AC42" s="515">
        <f>Aprēķini!AB$194+Aprēķini!AB$193*'Jutīguma analīze_IIA'!$B42</f>
        <v>19601.366036101805</v>
      </c>
      <c r="AD42" s="515">
        <f>Aprēķini!AC$194+Aprēķini!AC$193*'Jutīguma analīze_IIA'!$B42</f>
        <v>23771.558495279423</v>
      </c>
      <c r="AE42" s="515">
        <f>Aprēķini!AD$194+Aprēķini!AD$193*'Jutīguma analīze_IIA'!$B42</f>
        <v>42622.059396790457</v>
      </c>
      <c r="AF42" s="515">
        <f>Aprēķini!AE$194+Aprēķini!AE$193*'Jutīguma analīze_IIA'!$B42</f>
        <v>42685.943295460529</v>
      </c>
      <c r="AG42" s="515">
        <f>Aprēķini!AF$194+Aprēķini!AF$193*'Jutīguma analīze_IIA'!$B42</f>
        <v>33621.480854756999</v>
      </c>
      <c r="AH42" s="515">
        <f>Aprēķini!AG$194+Aprēķini!AG$193*'Jutīguma analīze_IIA'!$B42</f>
        <v>582256.60682078649</v>
      </c>
      <c r="AI42" s="515">
        <f>Aprēķini!AH$194+Aprēķini!AH$193*'Jutīguma analīze_IIA'!$B42</f>
        <v>33613.732786816043</v>
      </c>
    </row>
    <row r="43" spans="1:35" ht="12.75" x14ac:dyDescent="0.2">
      <c r="A43" s="639"/>
      <c r="B43" s="115">
        <v>2.5000000000000001E-2</v>
      </c>
      <c r="C43" s="515">
        <f>Aprēķini!B$194+Aprēķini!B$193*'Jutīguma analīze_IIA'!$B43</f>
        <v>-577018.45500000007</v>
      </c>
      <c r="D43" s="515">
        <f>Aprēķini!C$194+Aprēķini!C$193*'Jutīguma analīze_IIA'!$B43</f>
        <v>-341952.64735846192</v>
      </c>
      <c r="E43" s="515">
        <f>Aprēķini!D$194+Aprēķini!D$193*'Jutīguma analīze_IIA'!$B43</f>
        <v>-507469.22145319195</v>
      </c>
      <c r="F43" s="515">
        <f>Aprēķini!E$194+Aprēķini!E$193*'Jutīguma analīze_IIA'!$B43</f>
        <v>19284.286667085715</v>
      </c>
      <c r="G43" s="515">
        <f>Aprēķini!F$194+Aprēķini!F$193*'Jutīguma analīze_IIA'!$B43</f>
        <v>19143.150255959416</v>
      </c>
      <c r="H43" s="515">
        <f>Aprēķini!G$194+Aprēķini!G$193*'Jutīguma analīze_IIA'!$B43</f>
        <v>19581.543784831887</v>
      </c>
      <c r="I43" s="515">
        <f>Aprēķini!H$194+Aprēķini!H$193*'Jutīguma analīze_IIA'!$B43</f>
        <v>19506.82622358136</v>
      </c>
      <c r="J43" s="515">
        <f>Aprēķini!I$194+Aprēķini!I$193*'Jutīguma analīze_IIA'!$B43</f>
        <v>19103.852834920272</v>
      </c>
      <c r="K43" s="515">
        <f>Aprēķini!J$194+Aprēķini!J$193*'Jutīguma analīze_IIA'!$B43</f>
        <v>23214.214503346375</v>
      </c>
      <c r="L43" s="515">
        <f>Aprēķini!K$194+Aprēķini!K$193*'Jutīguma analīze_IIA'!$B43</f>
        <v>23507.628719230459</v>
      </c>
      <c r="M43" s="515">
        <f>Aprēķini!L$194+Aprēķini!L$193*'Jutīguma analīze_IIA'!$B43</f>
        <v>23378.976423187883</v>
      </c>
      <c r="N43" s="515">
        <f>Aprēķini!M$194+Aprēķini!M$193*'Jutīguma analīze_IIA'!$B43</f>
        <v>23597.176499144709</v>
      </c>
      <c r="O43" s="515">
        <f>Aprēķini!N$194+Aprēķini!N$193*'Jutīguma analīze_IIA'!$B43</f>
        <v>23466.952842555842</v>
      </c>
      <c r="P43" s="515">
        <f>Aprēķini!O$194+Aprēķini!O$193*'Jutīguma analīze_IIA'!$B43</f>
        <v>18530.862400388138</v>
      </c>
      <c r="Q43" s="515">
        <f>Aprēķini!P$194+Aprēķini!P$193*'Jutīguma analīze_IIA'!$B43</f>
        <v>18450.705166215026</v>
      </c>
      <c r="R43" s="515">
        <f>Aprēķini!Q$194+Aprēķini!Q$193*'Jutīguma analīze_IIA'!$B43</f>
        <v>21145.366908038977</v>
      </c>
      <c r="S43" s="515">
        <f>Aprēķini!R$194+Aprēķini!R$193*'Jutīguma analīze_IIA'!$B43</f>
        <v>18854.80678461396</v>
      </c>
      <c r="T43" s="515">
        <f>Aprēķini!S$194+Aprēķini!S$193*'Jutīguma analīze_IIA'!$B43</f>
        <v>23164.631968988993</v>
      </c>
      <c r="U43" s="515">
        <f>Aprēķini!T$194+Aprēķini!T$193*'Jutīguma analīze_IIA'!$B43</f>
        <v>18417.011467723169</v>
      </c>
      <c r="V43" s="515">
        <f>Aprēķini!U$194+Aprēķini!U$193*'Jutīguma analīze_IIA'!$B43</f>
        <v>18545.751861550565</v>
      </c>
      <c r="W43" s="515">
        <f>Aprēķini!V$194+Aprēķini!V$193*'Jutīguma analīze_IIA'!$B43</f>
        <v>18009.387699386465</v>
      </c>
      <c r="X43" s="515">
        <f>Aprēķini!W$194+Aprēķini!W$193*'Jutīguma analīze_IIA'!$B43</f>
        <v>17937.525721214173</v>
      </c>
      <c r="Y43" s="515">
        <f>Aprēķini!X$194+Aprēķini!X$193*'Jutīguma analīze_IIA'!$B43</f>
        <v>20638.911358492503</v>
      </c>
      <c r="Z43" s="515">
        <f>Aprēķini!Y$194+Aprēķini!Y$193*'Jutīguma analīze_IIA'!$B43</f>
        <v>20567.049380320561</v>
      </c>
      <c r="AA43" s="515">
        <f>Aprēķini!Z$194+Aprēķini!Z$193*'Jutīguma analīze_IIA'!$B43</f>
        <v>20146.763669602522</v>
      </c>
      <c r="AB43" s="515">
        <f>Aprēķini!AA$194+Aprēķini!AA$193*'Jutīguma analīze_IIA'!$B43</f>
        <v>20421.754063429602</v>
      </c>
      <c r="AC43" s="515">
        <f>Aprēķini!AB$194+Aprēķini!AB$193*'Jutīguma analīze_IIA'!$B43</f>
        <v>20273.106584784011</v>
      </c>
      <c r="AD43" s="515">
        <f>Aprēķini!AC$194+Aprēķini!AC$193*'Jutīguma analīze_IIA'!$B43</f>
        <v>23548.953259189886</v>
      </c>
      <c r="AE43" s="515">
        <f>Aprēķini!AD$194+Aprēķini!AD$193*'Jutīguma analīze_IIA'!$B43</f>
        <v>40300.608375929172</v>
      </c>
      <c r="AF43" s="515">
        <f>Aprēķini!AE$194+Aprēķini!AE$193*'Jutīguma analīze_IIA'!$B43</f>
        <v>40274.896489827501</v>
      </c>
      <c r="AG43" s="515">
        <f>Aprēķini!AF$194+Aprēķini!AF$193*'Jutīguma analīze_IIA'!$B43</f>
        <v>31164.693630861642</v>
      </c>
      <c r="AH43" s="515">
        <f>Aprēķini!AG$194+Aprēķini!AG$193*'Jutīguma analīze_IIA'!$B43</f>
        <v>579754.07917862886</v>
      </c>
      <c r="AI43" s="515">
        <f>Aprēķini!AH$194+Aprēķini!AH$193*'Jutīguma analīze_IIA'!$B43</f>
        <v>31065.464726396025</v>
      </c>
    </row>
    <row r="44" spans="1:35" ht="12.75" x14ac:dyDescent="0.2">
      <c r="A44" s="639"/>
      <c r="B44" s="115">
        <v>0.01</v>
      </c>
      <c r="C44" s="515">
        <f>Aprēķini!B$194+Aprēķini!B$193*'Jutīguma analīze_IIA'!$B44</f>
        <v>-585895.66200000001</v>
      </c>
      <c r="D44" s="515">
        <f>Aprēķini!C$194+Aprēķini!C$193*'Jutīguma analīze_IIA'!$B44</f>
        <v>-347213.4573178229</v>
      </c>
      <c r="E44" s="515">
        <f>Aprēķini!D$194+Aprēķini!D$193*'Jutīguma analīze_IIA'!$B44</f>
        <v>-515329.7930210862</v>
      </c>
      <c r="F44" s="515">
        <f>Aprēķini!E$194+Aprēķini!E$193*'Jutīguma analīze_IIA'!$B44</f>
        <v>19262.01903323517</v>
      </c>
      <c r="G44" s="515">
        <f>Aprēķini!F$194+Aprēķini!F$193*'Jutīguma analīze_IIA'!$B44</f>
        <v>19109.189040345231</v>
      </c>
      <c r="H44" s="515">
        <f>Aprēķini!G$194+Aprēķini!G$193*'Jutīguma analīze_IIA'!$B44</f>
        <v>19535.538358024773</v>
      </c>
      <c r="I44" s="515">
        <f>Aprēķini!H$194+Aprēķini!H$193*'Jutīguma analīze_IIA'!$B44</f>
        <v>19459.982171295545</v>
      </c>
      <c r="J44" s="515">
        <f>Aprēķini!I$194+Aprēķini!I$193*'Jutīguma analīze_IIA'!$B44</f>
        <v>19056.169557155758</v>
      </c>
      <c r="K44" s="515">
        <f>Aprēķini!J$194+Aprēķini!J$193*'Jutīguma analīze_IIA'!$B44</f>
        <v>23165.709100103162</v>
      </c>
      <c r="L44" s="515">
        <f>Aprēķini!K$194+Aprēķini!K$193*'Jutīguma analīze_IIA'!$B44</f>
        <v>23458.301190508548</v>
      </c>
      <c r="M44" s="515">
        <f>Aprēķini!L$194+Aprēķini!L$193*'Jutīguma analīze_IIA'!$B44</f>
        <v>23295.652486342278</v>
      </c>
      <c r="N44" s="515">
        <f>Aprēķini!M$194+Aprēķini!M$193*'Jutīguma analīze_IIA'!$B44</f>
        <v>23479.856154175402</v>
      </c>
      <c r="O44" s="515">
        <f>Aprēķini!N$194+Aprēķini!N$193*'Jutīguma analīze_IIA'!$B44</f>
        <v>23315.636089462838</v>
      </c>
      <c r="P44" s="515">
        <f>Aprēķini!O$194+Aprēķini!O$193*'Jutīguma analīze_IIA'!$B44</f>
        <v>18378.312459077082</v>
      </c>
      <c r="Q44" s="515">
        <f>Aprēķini!P$194+Aprēķini!P$193*'Jutīguma analīze_IIA'!$B44</f>
        <v>18296.922036685926</v>
      </c>
      <c r="R44" s="515">
        <f>Aprēķini!Q$194+Aprēķini!Q$193*'Jutīguma analīze_IIA'!$B44</f>
        <v>20990.35059029183</v>
      </c>
      <c r="S44" s="515">
        <f>Aprēķini!R$194+Aprēķini!R$193*'Jutīguma analīze_IIA'!$B44</f>
        <v>19091.857278648764</v>
      </c>
      <c r="T44" s="515">
        <f>Aprēķini!S$194+Aprēķini!S$193*'Jutīguma analīze_IIA'!$B44</f>
        <v>23408.999274805748</v>
      </c>
      <c r="U44" s="515">
        <f>Aprēķini!T$194+Aprēķini!T$193*'Jutīguma analīze_IIA'!$B44</f>
        <v>18668.695585321875</v>
      </c>
      <c r="V44" s="515">
        <f>Aprēķini!U$194+Aprēķini!U$193*'Jutīguma analīze_IIA'!$B44</f>
        <v>18804.752790931223</v>
      </c>
      <c r="W44" s="515">
        <f>Aprēķini!V$194+Aprēķini!V$193*'Jutīguma analīze_IIA'!$B44</f>
        <v>18388.205440549078</v>
      </c>
      <c r="X44" s="515">
        <f>Aprēķini!W$194+Aprēķini!W$193*'Jutīguma analīze_IIA'!$B44</f>
        <v>18325.910274158738</v>
      </c>
      <c r="Y44" s="515">
        <f>Aprēķini!X$194+Aprēķini!X$193*'Jutīguma analīze_IIA'!$B44</f>
        <v>21036.862723219016</v>
      </c>
      <c r="Z44" s="515">
        <f>Aprēķini!Y$194+Aprēķini!Y$193*'Jutīguma analīze_IIA'!$B44</f>
        <v>20974.567556829028</v>
      </c>
      <c r="AA44" s="515">
        <f>Aprēķini!Z$194+Aprēķini!Z$193*'Jutīguma analīze_IIA'!$B44</f>
        <v>20563.848657892944</v>
      </c>
      <c r="AB44" s="515">
        <f>Aprēķini!AA$194+Aprēķini!AA$193*'Jutīguma analīze_IIA'!$B44</f>
        <v>20848.405863501976</v>
      </c>
      <c r="AC44" s="515">
        <f>Aprēķini!AB$194+Aprēķini!AB$193*'Jutīguma analīze_IIA'!$B44</f>
        <v>20676.150913993333</v>
      </c>
      <c r="AD44" s="515">
        <f>Aprēķini!AC$194+Aprēķini!AC$193*'Jutīguma analīze_IIA'!$B44</f>
        <v>23415.390117536164</v>
      </c>
      <c r="AE44" s="515">
        <f>Aprēķini!AD$194+Aprēķini!AD$193*'Jutīguma analīze_IIA'!$B44</f>
        <v>38907.737763412399</v>
      </c>
      <c r="AF44" s="515">
        <f>Aprēķini!AE$194+Aprēķini!AE$193*'Jutīguma analīze_IIA'!$B44</f>
        <v>38828.268406447685</v>
      </c>
      <c r="AG44" s="515">
        <f>Aprēķini!AF$194+Aprēķini!AF$193*'Jutīguma analīze_IIA'!$B44</f>
        <v>29690.621296524427</v>
      </c>
      <c r="AH44" s="515">
        <f>Aprēķini!AG$194+Aprēķini!AG$193*'Jutīguma analīze_IIA'!$B44</f>
        <v>578252.56259333424</v>
      </c>
      <c r="AI44" s="515">
        <f>Aprēķini!AH$194+Aprēķini!AH$193*'Jutīguma analīze_IIA'!$B44</f>
        <v>29536.503890144013</v>
      </c>
    </row>
    <row r="45" spans="1:35" ht="12.75" x14ac:dyDescent="0.2">
      <c r="A45" s="639"/>
      <c r="B45" s="116">
        <v>0</v>
      </c>
      <c r="C45" s="583">
        <f>Aprēķini!B$194+Aprēķini!B$193*'Jutīguma analīze_IIA'!$B45</f>
        <v>-591813.80000000005</v>
      </c>
      <c r="D45" s="583">
        <f>Aprēķini!C$194+Aprēķini!C$193*'Jutīguma analīze_IIA'!$B45</f>
        <v>-350720.66395739687</v>
      </c>
      <c r="E45" s="583">
        <f>Aprēķini!D$194+Aprēķini!D$193*'Jutīguma analīze_IIA'!$B45</f>
        <v>-520570.17406634899</v>
      </c>
      <c r="F45" s="583">
        <f>Aprēķini!E$194+Aprēķini!E$193*'Jutīguma analīze_IIA'!$B45</f>
        <v>19247.173944001472</v>
      </c>
      <c r="G45" s="583">
        <f>Aprēķini!F$194+Aprēķini!F$193*'Jutīguma analīze_IIA'!$B45</f>
        <v>19086.548229935772</v>
      </c>
      <c r="H45" s="583">
        <f>Aprēķini!G$194+Aprēķini!G$193*'Jutīguma analīze_IIA'!$B45</f>
        <v>19504.868073486694</v>
      </c>
      <c r="I45" s="583">
        <f>Aprēķini!H$194+Aprēķini!H$193*'Jutīguma analīze_IIA'!$B45</f>
        <v>19428.752803105002</v>
      </c>
      <c r="J45" s="583">
        <f>Aprēķini!I$194+Aprēķini!I$193*'Jutīguma analīze_IIA'!$B45</f>
        <v>19024.380705312749</v>
      </c>
      <c r="K45" s="583">
        <f>Aprēķini!J$194+Aprēķini!J$193*'Jutīguma analīze_IIA'!$B45</f>
        <v>23133.372164607688</v>
      </c>
      <c r="L45" s="583">
        <f>Aprēķini!K$194+Aprēķini!K$193*'Jutīguma analīze_IIA'!$B45</f>
        <v>23425.416171360608</v>
      </c>
      <c r="M45" s="583">
        <f>Aprēķini!L$194+Aprēķini!L$193*'Jutīguma analīze_IIA'!$B45</f>
        <v>23240.103195111871</v>
      </c>
      <c r="N45" s="583">
        <f>Aprēķini!M$194+Aprēķini!M$193*'Jutīguma analīze_IIA'!$B45</f>
        <v>23401.642590862532</v>
      </c>
      <c r="O45" s="583">
        <f>Aprēķini!N$194+Aprēķini!N$193*'Jutīguma analīze_IIA'!$B45</f>
        <v>23214.758254067499</v>
      </c>
      <c r="P45" s="583">
        <f>Aprēķini!O$194+Aprēķini!O$193*'Jutīguma analīze_IIA'!$B45</f>
        <v>18276.612498203049</v>
      </c>
      <c r="Q45" s="583">
        <f>Aprēķini!P$194+Aprēķini!P$193*'Jutīguma analīze_IIA'!$B45</f>
        <v>18194.399950333191</v>
      </c>
      <c r="R45" s="583">
        <f>Aprēķini!Q$194+Aprēķini!Q$193*'Jutīguma analīze_IIA'!$B45</f>
        <v>20887.006378460395</v>
      </c>
      <c r="S45" s="583">
        <f>Aprēķini!R$194+Aprēķini!R$193*'Jutīguma analīze_IIA'!$B45</f>
        <v>19249.890941338632</v>
      </c>
      <c r="T45" s="583">
        <f>Aprēķini!S$194+Aprēķini!S$193*'Jutīguma analīze_IIA'!$B45</f>
        <v>23571.910812016918</v>
      </c>
      <c r="U45" s="583">
        <f>Aprēķini!T$194+Aprēķini!T$193*'Jutīguma analīze_IIA'!$B45</f>
        <v>18836.484997054347</v>
      </c>
      <c r="V45" s="583">
        <f>Aprēķini!U$194+Aprēķini!U$193*'Jutīguma analīze_IIA'!$B45</f>
        <v>18977.420077184997</v>
      </c>
      <c r="W45" s="583">
        <f>Aprēķini!V$194+Aprēķini!V$193*'Jutīguma analīze_IIA'!$B45</f>
        <v>18640.750601324151</v>
      </c>
      <c r="X45" s="583">
        <f>Aprēķini!W$194+Aprēķini!W$193*'Jutīguma analīze_IIA'!$B45</f>
        <v>18584.833309455113</v>
      </c>
      <c r="Y45" s="583">
        <f>Aprēķini!X$194+Aprēķini!X$193*'Jutīguma analīze_IIA'!$B45</f>
        <v>21302.163633036693</v>
      </c>
      <c r="Z45" s="583">
        <f>Aprēķini!Y$194+Aprēķini!Y$193*'Jutīguma analīze_IIA'!$B45</f>
        <v>21246.246341168007</v>
      </c>
      <c r="AA45" s="583">
        <f>Aprēķini!Z$194+Aprēķini!Z$193*'Jutīguma analīze_IIA'!$B45</f>
        <v>20841.905316753226</v>
      </c>
      <c r="AB45" s="583">
        <f>Aprēķini!AA$194+Aprēķini!AA$193*'Jutīguma analīze_IIA'!$B45</f>
        <v>21132.840396883556</v>
      </c>
      <c r="AC45" s="583">
        <f>Aprēķini!AB$194+Aprēķini!AB$193*'Jutīguma analīze_IIA'!$B45</f>
        <v>20944.847133466217</v>
      </c>
      <c r="AD45" s="583">
        <f>Aprēķini!AC$194+Aprēķini!AC$193*'Jutīguma analīze_IIA'!$B45</f>
        <v>23326.348023100349</v>
      </c>
      <c r="AE45" s="583">
        <f>Aprēķini!AD$194+Aprēķini!AD$193*'Jutīguma analīze_IIA'!$B45</f>
        <v>37979.157355067888</v>
      </c>
      <c r="AF45" s="583">
        <f>Aprēķini!AE$194+Aprēķini!AE$193*'Jutīguma analīze_IIA'!$B45</f>
        <v>37863.849684194473</v>
      </c>
      <c r="AG45" s="583">
        <f>Aprēķini!AF$194+Aprēķini!AF$193*'Jutīguma analīze_IIA'!$B45</f>
        <v>28707.906406966285</v>
      </c>
      <c r="AH45" s="583">
        <f>Aprēķini!AG$194+Aprēķini!AG$193*'Jutīguma analīze_IIA'!$B45</f>
        <v>577251.55153647112</v>
      </c>
      <c r="AI45" s="583">
        <f>Aprēķini!AH$194+Aprēķini!AH$193*'Jutīguma analīze_IIA'!$B45</f>
        <v>28517.196665976007</v>
      </c>
    </row>
    <row r="46" spans="1:35" ht="12.75" x14ac:dyDescent="0.2">
      <c r="A46" s="639"/>
      <c r="B46" s="115">
        <v>-0.01</v>
      </c>
      <c r="C46" s="515">
        <f>Aprēķini!B$194+Aprēķini!B$193*'Jutīguma analīze_IIA'!$B46</f>
        <v>-597731.93800000008</v>
      </c>
      <c r="D46" s="515">
        <f>Aprēķini!C$194+Aprēķini!C$193*'Jutīguma analīze_IIA'!$B46</f>
        <v>-354227.87059697084</v>
      </c>
      <c r="E46" s="515">
        <f>Aprēķini!D$194+Aprēķini!D$193*'Jutīguma analīze_IIA'!$B46</f>
        <v>-525810.55511161184</v>
      </c>
      <c r="F46" s="515">
        <f>Aprēķini!E$194+Aprēķini!E$193*'Jutīguma analīze_IIA'!$B46</f>
        <v>19232.328854767773</v>
      </c>
      <c r="G46" s="515">
        <f>Aprēķini!F$194+Aprēķini!F$193*'Jutīguma analīze_IIA'!$B46</f>
        <v>19063.907419526313</v>
      </c>
      <c r="H46" s="515">
        <f>Aprēķini!G$194+Aprēķini!G$193*'Jutīguma analīze_IIA'!$B46</f>
        <v>19474.197788948615</v>
      </c>
      <c r="I46" s="515">
        <f>Aprēķini!H$194+Aprēķini!H$193*'Jutīguma analīze_IIA'!$B46</f>
        <v>19397.523434914459</v>
      </c>
      <c r="J46" s="515">
        <f>Aprēķini!I$194+Aprēķini!I$193*'Jutīguma analīze_IIA'!$B46</f>
        <v>18992.591853469741</v>
      </c>
      <c r="K46" s="515">
        <f>Aprēķini!J$194+Aprēķini!J$193*'Jutīguma analīze_IIA'!$B46</f>
        <v>23101.035229112214</v>
      </c>
      <c r="L46" s="515">
        <f>Aprēķini!K$194+Aprēķini!K$193*'Jutīguma analīze_IIA'!$B46</f>
        <v>23392.531152212669</v>
      </c>
      <c r="M46" s="515">
        <f>Aprēķini!L$194+Aprēķini!L$193*'Jutīguma analīze_IIA'!$B46</f>
        <v>23184.553903881464</v>
      </c>
      <c r="N46" s="515">
        <f>Aprēķini!M$194+Aprēķini!M$193*'Jutīguma analīze_IIA'!$B46</f>
        <v>23323.429027549661</v>
      </c>
      <c r="O46" s="515">
        <f>Aprēķini!N$194+Aprēķini!N$193*'Jutīguma analīze_IIA'!$B46</f>
        <v>23113.880418672161</v>
      </c>
      <c r="P46" s="515">
        <f>Aprēķini!O$194+Aprēķini!O$193*'Jutīguma analīze_IIA'!$B46</f>
        <v>18174.912537329015</v>
      </c>
      <c r="Q46" s="515">
        <f>Aprēķini!P$194+Aprēķini!P$193*'Jutīguma analīze_IIA'!$B46</f>
        <v>18091.877863980455</v>
      </c>
      <c r="R46" s="515">
        <f>Aprēķini!Q$194+Aprēķini!Q$193*'Jutīguma analīze_IIA'!$B46</f>
        <v>20783.662166628961</v>
      </c>
      <c r="S46" s="515">
        <f>Aprēķini!R$194+Aprēķini!R$193*'Jutīguma analīze_IIA'!$B46</f>
        <v>19407.9246040285</v>
      </c>
      <c r="T46" s="515">
        <f>Aprēķini!S$194+Aprēķini!S$193*'Jutīguma analīze_IIA'!$B46</f>
        <v>23734.822349228089</v>
      </c>
      <c r="U46" s="515">
        <f>Aprēķini!T$194+Aprēķini!T$193*'Jutīguma analīze_IIA'!$B46</f>
        <v>19004.27440878682</v>
      </c>
      <c r="V46" s="515">
        <f>Aprēķini!U$194+Aprēķini!U$193*'Jutīguma analīze_IIA'!$B46</f>
        <v>19150.087363438772</v>
      </c>
      <c r="W46" s="515">
        <f>Aprēķini!V$194+Aprēķini!V$193*'Jutīguma analīze_IIA'!$B46</f>
        <v>18893.295762099224</v>
      </c>
      <c r="X46" s="515">
        <f>Aprēķini!W$194+Aprēķini!W$193*'Jutīguma analīze_IIA'!$B46</f>
        <v>18843.756344751488</v>
      </c>
      <c r="Y46" s="515">
        <f>Aprēķini!X$194+Aprēķini!X$193*'Jutīguma analīze_IIA'!$B46</f>
        <v>21567.46454285437</v>
      </c>
      <c r="Z46" s="515">
        <f>Aprēķini!Y$194+Aprēķini!Y$193*'Jutīguma analīze_IIA'!$B46</f>
        <v>21517.925125506987</v>
      </c>
      <c r="AA46" s="515">
        <f>Aprēķini!Z$194+Aprēķini!Z$193*'Jutīguma analīze_IIA'!$B46</f>
        <v>21119.961975613507</v>
      </c>
      <c r="AB46" s="515">
        <f>Aprēķini!AA$194+Aprēķini!AA$193*'Jutīguma analīze_IIA'!$B46</f>
        <v>21417.274930265135</v>
      </c>
      <c r="AC46" s="515">
        <f>Aprēķini!AB$194+Aprēķini!AB$193*'Jutīguma analīze_IIA'!$B46</f>
        <v>21213.543352939101</v>
      </c>
      <c r="AD46" s="515">
        <f>Aprēķini!AC$194+Aprēķini!AC$193*'Jutīguma analīze_IIA'!$B46</f>
        <v>23237.305928664533</v>
      </c>
      <c r="AE46" s="515">
        <f>Aprēķini!AD$194+Aprēķini!AD$193*'Jutīguma analīze_IIA'!$B46</f>
        <v>37050.576946723377</v>
      </c>
      <c r="AF46" s="515">
        <f>Aprēķini!AE$194+Aprēķini!AE$193*'Jutīguma analīze_IIA'!$B46</f>
        <v>36899.43096194126</v>
      </c>
      <c r="AG46" s="515">
        <f>Aprēķini!AF$194+Aprēķini!AF$193*'Jutīguma analīze_IIA'!$B46</f>
        <v>27725.191517408144</v>
      </c>
      <c r="AH46" s="515">
        <f>Aprēķini!AG$194+Aprēķini!AG$193*'Jutīguma analīze_IIA'!$B46</f>
        <v>576250.540479608</v>
      </c>
      <c r="AI46" s="515">
        <f>Aprēķini!AH$194+Aprēķini!AH$193*'Jutīguma analīze_IIA'!$B46</f>
        <v>27497.889441808002</v>
      </c>
    </row>
    <row r="47" spans="1:35" ht="12.75" x14ac:dyDescent="0.2">
      <c r="A47" s="639"/>
      <c r="B47" s="115">
        <v>-2.5000000000000001E-2</v>
      </c>
      <c r="C47" s="515">
        <f>Aprēķini!B$194+Aprēķini!B$193*'Jutīguma analīze_IIA'!$B47</f>
        <v>-606609.14500000002</v>
      </c>
      <c r="D47" s="515">
        <f>Aprēķini!C$194+Aprēķini!C$193*'Jutīguma analīze_IIA'!$B47</f>
        <v>-359488.68055633182</v>
      </c>
      <c r="E47" s="515">
        <f>Aprēķini!D$194+Aprēķini!D$193*'Jutīguma analīze_IIA'!$B47</f>
        <v>-533671.12667950604</v>
      </c>
      <c r="F47" s="515">
        <f>Aprēķini!E$194+Aprēķini!E$193*'Jutīguma analīze_IIA'!$B47</f>
        <v>19210.061220917229</v>
      </c>
      <c r="G47" s="515">
        <f>Aprēķini!F$194+Aprēķini!F$193*'Jutīguma analīze_IIA'!$B47</f>
        <v>19029.946203912128</v>
      </c>
      <c r="H47" s="515">
        <f>Aprēķini!G$194+Aprēķini!G$193*'Jutīguma analīze_IIA'!$B47</f>
        <v>19428.192362141501</v>
      </c>
      <c r="I47" s="515">
        <f>Aprēķini!H$194+Aprēķini!H$193*'Jutīguma analīze_IIA'!$B47</f>
        <v>19350.679382628645</v>
      </c>
      <c r="J47" s="515">
        <f>Aprēķini!I$194+Aprēķini!I$193*'Jutīguma analīze_IIA'!$B47</f>
        <v>18944.908575705227</v>
      </c>
      <c r="K47" s="515">
        <f>Aprēķini!J$194+Aprēķini!J$193*'Jutīguma analīze_IIA'!$B47</f>
        <v>23052.529825869002</v>
      </c>
      <c r="L47" s="515">
        <f>Aprēķini!K$194+Aprēķini!K$193*'Jutīguma analīze_IIA'!$B47</f>
        <v>23343.203623490757</v>
      </c>
      <c r="M47" s="515">
        <f>Aprēķini!L$194+Aprēķini!L$193*'Jutīguma analīze_IIA'!$B47</f>
        <v>23101.229967035859</v>
      </c>
      <c r="N47" s="515">
        <f>Aprēķini!M$194+Aprēķini!M$193*'Jutīguma analīze_IIA'!$B47</f>
        <v>23206.108682580354</v>
      </c>
      <c r="O47" s="515">
        <f>Aprēķini!N$194+Aprēķini!N$193*'Jutīguma analīze_IIA'!$B47</f>
        <v>22962.563665579157</v>
      </c>
      <c r="P47" s="515">
        <f>Aprēķini!O$194+Aprēķini!O$193*'Jutīguma analīze_IIA'!$B47</f>
        <v>18022.36259601796</v>
      </c>
      <c r="Q47" s="515">
        <f>Aprēķini!P$194+Aprēķini!P$193*'Jutīguma analīze_IIA'!$B47</f>
        <v>17938.094734451355</v>
      </c>
      <c r="R47" s="515">
        <f>Aprēķini!Q$194+Aprēķini!Q$193*'Jutīguma analīze_IIA'!$B47</f>
        <v>20628.645848881813</v>
      </c>
      <c r="S47" s="515">
        <f>Aprēķini!R$194+Aprēķini!R$193*'Jutīguma analīze_IIA'!$B47</f>
        <v>19644.975098063303</v>
      </c>
      <c r="T47" s="515">
        <f>Aprēķini!S$194+Aprēķini!S$193*'Jutīguma analīze_IIA'!$B47</f>
        <v>23979.189655044844</v>
      </c>
      <c r="U47" s="515">
        <f>Aprēķini!T$194+Aprēķini!T$193*'Jutīguma analīze_IIA'!$B47</f>
        <v>19255.958526385526</v>
      </c>
      <c r="V47" s="515">
        <f>Aprēķini!U$194+Aprēķini!U$193*'Jutīguma analīze_IIA'!$B47</f>
        <v>19409.08829281943</v>
      </c>
      <c r="W47" s="515">
        <f>Aprēķini!V$194+Aprēķini!V$193*'Jutīguma analīze_IIA'!$B47</f>
        <v>19272.113503261837</v>
      </c>
      <c r="X47" s="515">
        <f>Aprēķini!W$194+Aprēķini!W$193*'Jutīguma analīze_IIA'!$B47</f>
        <v>19232.140897696052</v>
      </c>
      <c r="Y47" s="515">
        <f>Aprēķini!X$194+Aprēķini!X$193*'Jutīguma analīze_IIA'!$B47</f>
        <v>21965.415907580882</v>
      </c>
      <c r="Z47" s="515">
        <f>Aprēķini!Y$194+Aprēķini!Y$193*'Jutīguma analīze_IIA'!$B47</f>
        <v>21925.443302015454</v>
      </c>
      <c r="AA47" s="515">
        <f>Aprēķini!Z$194+Aprēķini!Z$193*'Jutīguma analīze_IIA'!$B47</f>
        <v>21537.046963903929</v>
      </c>
      <c r="AB47" s="515">
        <f>Aprēķini!AA$194+Aprēķini!AA$193*'Jutīguma analīze_IIA'!$B47</f>
        <v>21843.926730337509</v>
      </c>
      <c r="AC47" s="515">
        <f>Aprēķini!AB$194+Aprēķini!AB$193*'Jutīguma analīze_IIA'!$B47</f>
        <v>21616.587682148423</v>
      </c>
      <c r="AD47" s="515">
        <f>Aprēķini!AC$194+Aprēķini!AC$193*'Jutīguma analīze_IIA'!$B47</f>
        <v>23103.742787010811</v>
      </c>
      <c r="AE47" s="515">
        <f>Aprēķini!AD$194+Aprēķini!AD$193*'Jutīguma analīze_IIA'!$B47</f>
        <v>35657.706334206603</v>
      </c>
      <c r="AF47" s="515">
        <f>Aprēķini!AE$194+Aprēķini!AE$193*'Jutīguma analīze_IIA'!$B47</f>
        <v>35452.802878561444</v>
      </c>
      <c r="AG47" s="515">
        <f>Aprēķini!AF$194+Aprēķini!AF$193*'Jutīguma analīze_IIA'!$B47</f>
        <v>26251.119183070929</v>
      </c>
      <c r="AH47" s="515">
        <f>Aprēķini!AG$194+Aprēķini!AG$193*'Jutīguma analīze_IIA'!$B47</f>
        <v>574749.02389431337</v>
      </c>
      <c r="AI47" s="515">
        <f>Aprēķini!AH$194+Aprēķini!AH$193*'Jutīguma analīze_IIA'!$B47</f>
        <v>25968.92860555599</v>
      </c>
    </row>
    <row r="48" spans="1:35" ht="12.75" x14ac:dyDescent="0.2">
      <c r="A48" s="639"/>
      <c r="B48" s="115">
        <v>-0.05</v>
      </c>
      <c r="C48" s="515">
        <f>Aprēķini!B$194+Aprēķini!B$193*'Jutīguma analīze_IIA'!$B48</f>
        <v>-621404.49</v>
      </c>
      <c r="D48" s="515">
        <f>Aprēķini!C$194+Aprēķini!C$193*'Jutīguma analīze_IIA'!$B48</f>
        <v>-368256.69715526671</v>
      </c>
      <c r="E48" s="515">
        <f>Aprēķini!D$194+Aprēķini!D$193*'Jutīguma analīze_IIA'!$B48</f>
        <v>-546772.07929266302</v>
      </c>
      <c r="F48" s="515">
        <f>Aprēķini!E$194+Aprēķini!E$193*'Jutīguma analīze_IIA'!$B48</f>
        <v>19172.948497832986</v>
      </c>
      <c r="G48" s="515">
        <f>Aprēķini!F$194+Aprēķini!F$193*'Jutīguma analīze_IIA'!$B48</f>
        <v>18973.344177888481</v>
      </c>
      <c r="H48" s="515">
        <f>Aprēķini!G$194+Aprēķini!G$193*'Jutīguma analīze_IIA'!$B48</f>
        <v>19351.516650796308</v>
      </c>
      <c r="I48" s="515">
        <f>Aprēķini!H$194+Aprēķini!H$193*'Jutīguma analīze_IIA'!$B48</f>
        <v>19272.605962152287</v>
      </c>
      <c r="J48" s="515">
        <f>Aprēķini!I$194+Aprēķini!I$193*'Jutīguma analīze_IIA'!$B48</f>
        <v>18865.436446097705</v>
      </c>
      <c r="K48" s="515">
        <f>Aprēķini!J$194+Aprēķini!J$193*'Jutīguma analīze_IIA'!$B48</f>
        <v>22971.687487130315</v>
      </c>
      <c r="L48" s="515">
        <f>Aprēķini!K$194+Aprēķini!K$193*'Jutīguma analīze_IIA'!$B48</f>
        <v>23260.991075620906</v>
      </c>
      <c r="M48" s="515">
        <f>Aprēķini!L$194+Aprēķini!L$193*'Jutīguma analīze_IIA'!$B48</f>
        <v>22962.356738959843</v>
      </c>
      <c r="N48" s="515">
        <f>Aprēķini!M$194+Aprēķini!M$193*'Jutīguma analīze_IIA'!$B48</f>
        <v>23010.574774298173</v>
      </c>
      <c r="O48" s="515">
        <f>Aprēķini!N$194+Aprēķini!N$193*'Jutīguma analīze_IIA'!$B48</f>
        <v>22710.369077090814</v>
      </c>
      <c r="P48" s="515">
        <f>Aprēķini!O$194+Aprēķini!O$193*'Jutīguma analīze_IIA'!$B48</f>
        <v>17768.112693832874</v>
      </c>
      <c r="Q48" s="515">
        <f>Aprēķini!P$194+Aprēķini!P$193*'Jutīguma analīze_IIA'!$B48</f>
        <v>17681.789518569516</v>
      </c>
      <c r="R48" s="515">
        <f>Aprēķini!Q$194+Aprēķini!Q$193*'Jutīguma analīze_IIA'!$B48</f>
        <v>20370.285319303228</v>
      </c>
      <c r="S48" s="515">
        <f>Aprēķini!R$194+Aprēķini!R$193*'Jutīguma analīze_IIA'!$B48</f>
        <v>20040.059254787975</v>
      </c>
      <c r="T48" s="515">
        <f>Aprēķini!S$194+Aprēķini!S$193*'Jutīguma analīze_IIA'!$B48</f>
        <v>24386.468498072769</v>
      </c>
      <c r="U48" s="515">
        <f>Aprēķini!T$194+Aprēķini!T$193*'Jutīguma analīze_IIA'!$B48</f>
        <v>19675.432055716701</v>
      </c>
      <c r="V48" s="515">
        <f>Aprēķini!U$194+Aprēķini!U$193*'Jutīguma analīze_IIA'!$B48</f>
        <v>19840.756508453866</v>
      </c>
      <c r="W48" s="515">
        <f>Aprēķini!V$194+Aprēķini!V$193*'Jutīguma analīze_IIA'!$B48</f>
        <v>19903.476405199523</v>
      </c>
      <c r="X48" s="515">
        <f>Aprēķini!W$194+Aprēķini!W$193*'Jutīguma analīze_IIA'!$B48</f>
        <v>19879.448485936995</v>
      </c>
      <c r="Y48" s="515">
        <f>Aprēķini!X$194+Aprēķini!X$193*'Jutīguma analīze_IIA'!$B48</f>
        <v>22628.668182125075</v>
      </c>
      <c r="Z48" s="515">
        <f>Aprēķini!Y$194+Aprēķini!Y$193*'Jutīguma analīze_IIA'!$B48</f>
        <v>22604.640262862904</v>
      </c>
      <c r="AA48" s="515">
        <f>Aprēķini!Z$194+Aprēķini!Z$193*'Jutīguma analīze_IIA'!$B48</f>
        <v>22232.188611054629</v>
      </c>
      <c r="AB48" s="515">
        <f>Aprēķini!AA$194+Aprēķini!AA$193*'Jutīguma analīze_IIA'!$B48</f>
        <v>22555.013063791463</v>
      </c>
      <c r="AC48" s="515">
        <f>Aprēķini!AB$194+Aprēķini!AB$193*'Jutīguma analīze_IIA'!$B48</f>
        <v>22288.32823083063</v>
      </c>
      <c r="AD48" s="515">
        <f>Aprēķini!AC$194+Aprēķini!AC$193*'Jutīguma analīze_IIA'!$B48</f>
        <v>22881.137550921274</v>
      </c>
      <c r="AE48" s="515">
        <f>Aprēķini!AD$194+Aprēķini!AD$193*'Jutīguma analīze_IIA'!$B48</f>
        <v>33336.255313345318</v>
      </c>
      <c r="AF48" s="515">
        <f>Aprēķini!AE$194+Aprēķini!AE$193*'Jutīguma analīze_IIA'!$B48</f>
        <v>33041.756072928416</v>
      </c>
      <c r="AG48" s="515">
        <f>Aprēķini!AF$194+Aprēķini!AF$193*'Jutīguma analīze_IIA'!$B48</f>
        <v>23794.331959175572</v>
      </c>
      <c r="AH48" s="515">
        <f>Aprēķini!AG$194+Aprēķini!AG$193*'Jutīguma analīze_IIA'!$B48</f>
        <v>572246.49625215575</v>
      </c>
      <c r="AI48" s="515">
        <f>Aprēķini!AH$194+Aprēķini!AH$193*'Jutīguma analīze_IIA'!$B48</f>
        <v>23420.660545135972</v>
      </c>
    </row>
    <row r="49" spans="1:35" ht="12.75" x14ac:dyDescent="0.2">
      <c r="A49" s="639"/>
      <c r="B49" s="115">
        <v>-7.4999999999999997E-2</v>
      </c>
      <c r="C49" s="515">
        <f>Aprēķini!B$194+Aprēķini!B$193*'Jutīguma analīze_IIA'!$B49</f>
        <v>-636199.83500000008</v>
      </c>
      <c r="D49" s="515">
        <f>Aprēķini!C$194+Aprēķini!C$193*'Jutīguma analīze_IIA'!$B49</f>
        <v>-377024.71375420166</v>
      </c>
      <c r="E49" s="515">
        <f>Aprēķini!D$194+Aprēķini!D$193*'Jutīguma analīze_IIA'!$B49</f>
        <v>-559873.03190582013</v>
      </c>
      <c r="F49" s="515">
        <f>Aprēķini!E$194+Aprēķini!E$193*'Jutīguma analīze_IIA'!$B49</f>
        <v>19135.835774748739</v>
      </c>
      <c r="G49" s="515">
        <f>Aprēķini!F$194+Aprēķini!F$193*'Jutīguma analīze_IIA'!$B49</f>
        <v>18916.742151864837</v>
      </c>
      <c r="H49" s="515">
        <f>Aprēķini!G$194+Aprēķini!G$193*'Jutīguma analīze_IIA'!$B49</f>
        <v>19274.840939451115</v>
      </c>
      <c r="I49" s="515">
        <f>Aprēķini!H$194+Aprēķini!H$193*'Jutīguma analīze_IIA'!$B49</f>
        <v>19194.53254167593</v>
      </c>
      <c r="J49" s="515">
        <f>Aprēķini!I$194+Aprēķini!I$193*'Jutīguma analīze_IIA'!$B49</f>
        <v>18785.964316490186</v>
      </c>
      <c r="K49" s="515">
        <f>Aprēķini!J$194+Aprēķini!J$193*'Jutīguma analīze_IIA'!$B49</f>
        <v>22890.845148391629</v>
      </c>
      <c r="L49" s="515">
        <f>Aprēķini!K$194+Aprēķini!K$193*'Jutīguma analīze_IIA'!$B49</f>
        <v>23178.778527751056</v>
      </c>
      <c r="M49" s="515">
        <f>Aprēķini!L$194+Aprēķini!L$193*'Jutīguma analīze_IIA'!$B49</f>
        <v>22823.483510883831</v>
      </c>
      <c r="N49" s="515">
        <f>Aprēķini!M$194+Aprēķini!M$193*'Jutīguma analīze_IIA'!$B49</f>
        <v>22815.040866015996</v>
      </c>
      <c r="O49" s="515">
        <f>Aprēķini!N$194+Aprēķini!N$193*'Jutīguma analīze_IIA'!$B49</f>
        <v>22458.174488602472</v>
      </c>
      <c r="P49" s="515">
        <f>Aprēķini!O$194+Aprēķini!O$193*'Jutīguma analīze_IIA'!$B49</f>
        <v>17513.862791647785</v>
      </c>
      <c r="Q49" s="515">
        <f>Aprēķini!P$194+Aprēķini!P$193*'Jutīguma analīze_IIA'!$B49</f>
        <v>17425.484302687681</v>
      </c>
      <c r="R49" s="515">
        <f>Aprēķini!Q$194+Aprēķini!Q$193*'Jutīguma analīze_IIA'!$B49</f>
        <v>20111.924789724646</v>
      </c>
      <c r="S49" s="515">
        <f>Aprēķini!R$194+Aprēķini!R$193*'Jutīguma analīze_IIA'!$B49</f>
        <v>20435.143411512647</v>
      </c>
      <c r="T49" s="515">
        <f>Aprēķini!S$194+Aprēķini!S$193*'Jutīguma analīze_IIA'!$B49</f>
        <v>24793.747341100694</v>
      </c>
      <c r="U49" s="515">
        <f>Aprēķini!T$194+Aprēķini!T$193*'Jutīguma analīze_IIA'!$B49</f>
        <v>20094.90558504788</v>
      </c>
      <c r="V49" s="515">
        <f>Aprēķini!U$194+Aprēķini!U$193*'Jutīguma analīze_IIA'!$B49</f>
        <v>20272.424724088298</v>
      </c>
      <c r="W49" s="515">
        <f>Aprēķini!V$194+Aprēķini!V$193*'Jutīguma analīze_IIA'!$B49</f>
        <v>20534.839307137208</v>
      </c>
      <c r="X49" s="515">
        <f>Aprēķini!W$194+Aprēķini!W$193*'Jutīguma analīze_IIA'!$B49</f>
        <v>20526.756074177934</v>
      </c>
      <c r="Y49" s="515">
        <f>Aprēķini!X$194+Aprēķini!X$193*'Jutīguma analīze_IIA'!$B49</f>
        <v>23291.920456669264</v>
      </c>
      <c r="Z49" s="515">
        <f>Aprēķini!Y$194+Aprēķini!Y$193*'Jutīguma analīze_IIA'!$B49</f>
        <v>23283.83722371035</v>
      </c>
      <c r="AA49" s="515">
        <f>Aprēķini!Z$194+Aprēķini!Z$193*'Jutīguma analīze_IIA'!$B49</f>
        <v>22927.330258205329</v>
      </c>
      <c r="AB49" s="515">
        <f>Aprēķini!AA$194+Aprēķini!AA$193*'Jutīguma analīze_IIA'!$B49</f>
        <v>23266.099397245416</v>
      </c>
      <c r="AC49" s="515">
        <f>Aprēķini!AB$194+Aprēķini!AB$193*'Jutīguma analīze_IIA'!$B49</f>
        <v>22960.06877951284</v>
      </c>
      <c r="AD49" s="515">
        <f>Aprēķini!AC$194+Aprēķini!AC$193*'Jutīguma analīze_IIA'!$B49</f>
        <v>22658.532314831737</v>
      </c>
      <c r="AE49" s="515">
        <f>Aprēķini!AD$194+Aprēķini!AD$193*'Jutīguma analīze_IIA'!$B49</f>
        <v>31014.80429248403</v>
      </c>
      <c r="AF49" s="515">
        <f>Aprēķini!AE$194+Aprēķini!AE$193*'Jutīguma analīze_IIA'!$B49</f>
        <v>30630.709267295388</v>
      </c>
      <c r="AG49" s="515">
        <f>Aprēķini!AF$194+Aprēķini!AF$193*'Jutīguma analīze_IIA'!$B49</f>
        <v>21337.544735280215</v>
      </c>
      <c r="AH49" s="515">
        <f>Aprēķini!AG$194+Aprēķini!AG$193*'Jutīguma analīze_IIA'!$B49</f>
        <v>569743.968609998</v>
      </c>
      <c r="AI49" s="515">
        <f>Aprēķini!AH$194+Aprēķini!AH$193*'Jutīguma analīze_IIA'!$B49</f>
        <v>20872.392484715958</v>
      </c>
    </row>
    <row r="50" spans="1:35" ht="12.75" x14ac:dyDescent="0.2">
      <c r="A50" s="640"/>
      <c r="B50" s="115">
        <v>-0.1</v>
      </c>
      <c r="C50" s="515">
        <f>Aprēķini!B$194+Aprēķini!B$193*'Jutīguma analīze_IIA'!$B50</f>
        <v>-650995.18000000005</v>
      </c>
      <c r="D50" s="515">
        <f>Aprēķini!C$194+Aprēķini!C$193*'Jutīguma analīze_IIA'!$B50</f>
        <v>-385792.73035313655</v>
      </c>
      <c r="E50" s="515">
        <f>Aprēķini!D$194+Aprēķini!D$193*'Jutīguma analīze_IIA'!$B50</f>
        <v>-572973.98451897711</v>
      </c>
      <c r="F50" s="515">
        <f>Aprēķini!E$194+Aprēķini!E$193*'Jutīguma analīze_IIA'!$B50</f>
        <v>19098.723051664496</v>
      </c>
      <c r="G50" s="515">
        <f>Aprēķini!F$194+Aprēķini!F$193*'Jutīguma analīze_IIA'!$B50</f>
        <v>18860.14012584119</v>
      </c>
      <c r="H50" s="515">
        <f>Aprēķini!G$194+Aprēķini!G$193*'Jutīguma analīze_IIA'!$B50</f>
        <v>19198.165228105921</v>
      </c>
      <c r="I50" s="515">
        <f>Aprēķini!H$194+Aprēķini!H$193*'Jutīguma analīze_IIA'!$B50</f>
        <v>19116.459121199572</v>
      </c>
      <c r="J50" s="515">
        <f>Aprēķini!I$194+Aprēķini!I$193*'Jutīguma analīze_IIA'!$B50</f>
        <v>18706.492186882664</v>
      </c>
      <c r="K50" s="515">
        <f>Aprēķini!J$194+Aprēķini!J$193*'Jutīguma analīze_IIA'!$B50</f>
        <v>22810.002809652942</v>
      </c>
      <c r="L50" s="515">
        <f>Aprēķini!K$194+Aprēķini!K$193*'Jutīguma analīze_IIA'!$B50</f>
        <v>23096.565979881205</v>
      </c>
      <c r="M50" s="515">
        <f>Aprēķini!L$194+Aprēķini!L$193*'Jutīguma analīze_IIA'!$B50</f>
        <v>22684.610282807818</v>
      </c>
      <c r="N50" s="515">
        <f>Aprēķini!M$194+Aprēķini!M$193*'Jutīguma analīze_IIA'!$B50</f>
        <v>22619.506957733818</v>
      </c>
      <c r="O50" s="515">
        <f>Aprēķini!N$194+Aprēķini!N$193*'Jutīguma analīze_IIA'!$B50</f>
        <v>22205.979900114125</v>
      </c>
      <c r="P50" s="515">
        <f>Aprēķini!O$194+Aprēķini!O$193*'Jutīguma analīze_IIA'!$B50</f>
        <v>17259.612889462696</v>
      </c>
      <c r="Q50" s="515">
        <f>Aprēķini!P$194+Aprēķini!P$193*'Jutīguma analīze_IIA'!$B50</f>
        <v>17169.179086805845</v>
      </c>
      <c r="R50" s="515">
        <f>Aprēķini!Q$194+Aprēķini!Q$193*'Jutīguma analīze_IIA'!$B50</f>
        <v>19853.564260146064</v>
      </c>
      <c r="S50" s="515">
        <f>Aprēķini!R$194+Aprēķini!R$193*'Jutīguma analīze_IIA'!$B50</f>
        <v>20830.227568237318</v>
      </c>
      <c r="T50" s="515">
        <f>Aprēķini!S$194+Aprēķini!S$193*'Jutīguma analīze_IIA'!$B50</f>
        <v>25201.026184128619</v>
      </c>
      <c r="U50" s="515">
        <f>Aprēķini!T$194+Aprēķini!T$193*'Jutīguma analīze_IIA'!$B50</f>
        <v>20514.379114379059</v>
      </c>
      <c r="V50" s="515">
        <f>Aprēķini!U$194+Aprēķini!U$193*'Jutīguma analīze_IIA'!$B50</f>
        <v>20704.09293972273</v>
      </c>
      <c r="W50" s="515">
        <f>Aprēķini!V$194+Aprēķini!V$193*'Jutīguma analīze_IIA'!$B50</f>
        <v>21166.202209074894</v>
      </c>
      <c r="X50" s="515">
        <f>Aprēķini!W$194+Aprēķini!W$193*'Jutīguma analīze_IIA'!$B50</f>
        <v>21174.063662418874</v>
      </c>
      <c r="Y50" s="515">
        <f>Aprēķini!X$194+Aprēķini!X$193*'Jutīguma analīze_IIA'!$B50</f>
        <v>23955.172731213454</v>
      </c>
      <c r="Z50" s="515">
        <f>Aprēķini!Y$194+Aprēķini!Y$193*'Jutīguma analīze_IIA'!$B50</f>
        <v>23963.034184557797</v>
      </c>
      <c r="AA50" s="515">
        <f>Aprēķini!Z$194+Aprēķini!Z$193*'Jutīguma analīze_IIA'!$B50</f>
        <v>23622.471905356033</v>
      </c>
      <c r="AB50" s="515">
        <f>Aprēķini!AA$194+Aprēķini!AA$193*'Jutīguma analīze_IIA'!$B50</f>
        <v>23977.18573069937</v>
      </c>
      <c r="AC50" s="515">
        <f>Aprēķini!AB$194+Aprēķini!AB$193*'Jutīguma analīze_IIA'!$B50</f>
        <v>23631.809328195046</v>
      </c>
      <c r="AD50" s="515">
        <f>Aprēķini!AC$194+Aprēķini!AC$193*'Jutīguma analīze_IIA'!$B50</f>
        <v>22435.927078742199</v>
      </c>
      <c r="AE50" s="515">
        <f>Aprēķini!AD$194+Aprēķini!AD$193*'Jutīguma analīze_IIA'!$B50</f>
        <v>28693.353271622742</v>
      </c>
      <c r="AF50" s="515">
        <f>Aprēķini!AE$194+Aprēķini!AE$193*'Jutīguma analīze_IIA'!$B50</f>
        <v>28219.662461662359</v>
      </c>
      <c r="AG50" s="515">
        <f>Aprēķini!AF$194+Aprēķini!AF$193*'Jutīguma analīze_IIA'!$B50</f>
        <v>18880.757511384858</v>
      </c>
      <c r="AH50" s="515">
        <f>Aprēķini!AG$194+Aprēķini!AG$193*'Jutīguma analīze_IIA'!$B50</f>
        <v>567241.44096784038</v>
      </c>
      <c r="AI50" s="515">
        <f>Aprēķini!AH$194+Aprēķini!AH$193*'Jutīguma analīze_IIA'!$B50</f>
        <v>18324.124424295936</v>
      </c>
    </row>
    <row r="51" spans="1:35" ht="12.75" x14ac:dyDescent="0.2">
      <c r="A51" s="113" t="s">
        <v>186</v>
      </c>
      <c r="B51" s="115">
        <v>0.1</v>
      </c>
      <c r="C51" s="515">
        <f>Aprēķini!B$246+Aprēķini!B$245*'Jutīguma analīze_IIA'!$B51</f>
        <v>-1118.3256000000001</v>
      </c>
      <c r="D51" s="515">
        <f>Aprēķini!C$246+Aprēķini!C$245*'Jutīguma analīze_IIA'!$B51</f>
        <v>-1478.5001616571833</v>
      </c>
      <c r="E51" s="515">
        <f>Aprēķini!D$246+Aprēķini!D$245*'Jutīguma analīze_IIA'!$B51</f>
        <v>1422.1408862791288</v>
      </c>
      <c r="F51" s="515">
        <f>Aprēķini!E$246+Aprēķini!E$245*'Jutīguma analīze_IIA'!$B51</f>
        <v>9605.7521513384472</v>
      </c>
      <c r="G51" s="515">
        <f>Aprēķini!F$246+Aprēķini!F$245*'Jutīguma analīze_IIA'!$B51</f>
        <v>9558.9961585303517</v>
      </c>
      <c r="H51" s="515">
        <f>Aprēķini!G$246+Aprēķini!G$245*'Jutīguma analīze_IIA'!$B51</f>
        <v>10093.523252867466</v>
      </c>
      <c r="I51" s="515">
        <f>Aprēķini!H$246+Aprēķini!H$245*'Jutīguma analīze_IIA'!$B51</f>
        <v>10058.911328510434</v>
      </c>
      <c r="J51" s="515">
        <f>Aprēķini!I$246+Aprēķini!I$245*'Jutīguma analīze_IIA'!$B51</f>
        <v>9696.0465767428359</v>
      </c>
      <c r="K51" s="515">
        <f>Aprēķini!J$246+Aprēķini!J$245*'Jutīguma analīze_IIA'!$B51</f>
        <v>13846.431382062436</v>
      </c>
      <c r="L51" s="515">
        <f>Aprēķini!K$246+Aprēķini!K$245*'Jutīguma analīze_IIA'!$B51</f>
        <v>14179.868734840013</v>
      </c>
      <c r="M51" s="515">
        <f>Aprēķini!L$246+Aprēķini!L$245*'Jutīguma analīze_IIA'!$B51</f>
        <v>14257.110988915925</v>
      </c>
      <c r="N51" s="515">
        <f>Aprēķini!M$246+Aprēķini!M$245*'Jutīguma analīze_IIA'!$B51</f>
        <v>14681.205614991246</v>
      </c>
      <c r="O51" s="515">
        <f>Aprēķini!N$246+Aprēķini!N$245*'Jutīguma analīze_IIA'!$B51</f>
        <v>14756.876508520871</v>
      </c>
      <c r="P51" s="515">
        <f>Aprēķini!O$246+Aprēķini!O$245*'Jutīguma analīze_IIA'!$B51</f>
        <v>9862.8645169434021</v>
      </c>
      <c r="Q51" s="515">
        <f>Aprēķini!P$246+Aprēķini!P$245*'Jutīguma analīze_IIA'!$B51</f>
        <v>9824.7857333605389</v>
      </c>
      <c r="R51" s="515">
        <f>Aprēķini!Q$246+Aprēķini!Q$245*'Jutīguma analīze_IIA'!$B51</f>
        <v>12561.525925774728</v>
      </c>
      <c r="S51" s="515">
        <f>Aprēķini!R$246+Aprēķini!R$245*'Jutīguma analīze_IIA'!$B51</f>
        <v>8346.5442529399443</v>
      </c>
      <c r="T51" s="515">
        <f>Aprēķini!S$246+Aprēķini!S$245*'Jutīguma analīze_IIA'!$B51</f>
        <v>12655.697887905217</v>
      </c>
      <c r="U51" s="515">
        <f>Aprēķini!T$246+Aprēķini!T$245*'Jutīguma analīze_IIA'!$B51</f>
        <v>7907.4058372296367</v>
      </c>
      <c r="V51" s="515">
        <f>Aprēķini!U$246+Aprēķini!U$245*'Jutīguma analīze_IIA'!$B51</f>
        <v>8035.4746816472671</v>
      </c>
      <c r="W51" s="515">
        <f>Aprēķini!V$246+Aprēķini!V$245*'Jutīguma analīze_IIA'!$B51</f>
        <v>6935.9389700734091</v>
      </c>
      <c r="X51" s="515">
        <f>Aprēķini!W$246+Aprēķini!W$245*'Jutīguma analīze_IIA'!$B51</f>
        <v>6852.1554424913529</v>
      </c>
      <c r="Y51" s="515">
        <f>Aprēķini!X$246+Aprēķini!X$245*'Jutīguma analīze_IIA'!$B51</f>
        <v>9541.6195303599325</v>
      </c>
      <c r="Z51" s="515">
        <f>Aprēķini!Y$246+Aprēķini!Y$245*'Jutīguma analīze_IIA'!$B51</f>
        <v>9457.8360027782182</v>
      </c>
      <c r="AA51" s="515">
        <f>Aprēķini!Z$246+Aprēķini!Z$245*'Jutīguma analīze_IIA'!$B51</f>
        <v>9025.6287426504186</v>
      </c>
      <c r="AB51" s="515">
        <f>Aprēķini!AA$246+Aprēķini!AA$245*'Jutīguma analīze_IIA'!$B51</f>
        <v>9288.6975870677434</v>
      </c>
      <c r="AC51" s="515">
        <f>Aprēķini!AB$246+Aprēķini!AB$245*'Jutīguma analīze_IIA'!$B51</f>
        <v>9293.9999722373923</v>
      </c>
      <c r="AD51" s="515">
        <f>Aprēķini!AC$246+Aprēķini!AC$245*'Jutīguma analīze_IIA'!$B51</f>
        <v>15288.796510458502</v>
      </c>
      <c r="AE51" s="515">
        <f>Aprēķini!AD$246+Aprēķini!AD$245*'Jutīguma analīze_IIA'!$B51</f>
        <v>38372.901491013043</v>
      </c>
      <c r="AF51" s="515">
        <f>Aprēķini!AE$246+Aprēķini!AE$245*'Jutīguma analīze_IIA'!$B51</f>
        <v>38651.8894687266</v>
      </c>
      <c r="AG51" s="515">
        <f>Aprēķini!AF$246+Aprēķini!AF$245*'Jutīguma analīze_IIA'!$B51</f>
        <v>29714.820374047726</v>
      </c>
      <c r="AH51" s="515">
        <f>Aprēķini!AG$246+Aprēķini!AG$245*'Jutīguma analīze_IIA'!$B51</f>
        <v>578477.33968610188</v>
      </c>
      <c r="AI51" s="515">
        <f>Aprēķini!AH$246+Aprēķini!AH$245*'Jutīguma analīze_IIA'!$B51</f>
        <v>29961.858998156087</v>
      </c>
    </row>
    <row r="52" spans="1:35" ht="12.75" x14ac:dyDescent="0.2">
      <c r="A52" s="638"/>
      <c r="B52" s="115">
        <v>7.4999999999999997E-2</v>
      </c>
      <c r="C52" s="515">
        <f>Aprēķini!B$246+Aprēķini!B$245*'Jutīguma analīze_IIA'!$B52</f>
        <v>-1149.3902</v>
      </c>
      <c r="D52" s="515">
        <f>Aprēķini!C$246+Aprēķini!C$245*'Jutīguma analīze_IIA'!$B52</f>
        <v>-1519.5696105921049</v>
      </c>
      <c r="E52" s="515">
        <f>Aprēķini!D$246+Aprēķini!D$245*'Jutīguma analīze_IIA'!$B52</f>
        <v>1365.3133981221008</v>
      </c>
      <c r="F52" s="515">
        <f>Aprēķini!E$246+Aprēķini!E$245*'Jutīguma analīze_IIA'!$B52</f>
        <v>9296.6985203375352</v>
      </c>
      <c r="G52" s="515">
        <f>Aprēķini!F$246+Aprēķini!F$245*'Jutīguma analīze_IIA'!$B52</f>
        <v>9231.4507942983728</v>
      </c>
      <c r="H52" s="515">
        <f>Aprēķini!G$246+Aprēķini!G$245*'Jutīguma analīze_IIA'!$B52</f>
        <v>9746.9017730222713</v>
      </c>
      <c r="I52" s="515">
        <f>Aprēķini!H$246+Aprēķini!H$245*'Jutīguma analīze_IIA'!$B52</f>
        <v>9711.8897092424104</v>
      </c>
      <c r="J52" s="515">
        <f>Aprēķini!I$246+Aprēķini!I$245*'Jutīguma analīze_IIA'!$B52</f>
        <v>9348.6238180519813</v>
      </c>
      <c r="K52" s="515">
        <f>Aprēķini!J$246+Aprēķini!J$245*'Jutīguma analīze_IIA'!$B52</f>
        <v>13498.635983948749</v>
      </c>
      <c r="L52" s="515">
        <f>Aprēķini!K$246+Aprēķini!K$245*'Jutīguma analīze_IIA'!$B52</f>
        <v>13831.700697303495</v>
      </c>
      <c r="M52" s="515">
        <f>Aprēķini!L$246+Aprēķini!L$245*'Jutīguma analīze_IIA'!$B52</f>
        <v>13853.279840881578</v>
      </c>
      <c r="N52" s="515">
        <f>Aprēķini!M$246+Aprēķini!M$245*'Jutīguma analīze_IIA'!$B52</f>
        <v>14221.711356459067</v>
      </c>
      <c r="O52" s="515">
        <f>Aprēķini!N$246+Aprēķini!N$245*'Jutīguma analīze_IIA'!$B52</f>
        <v>14241.71913949086</v>
      </c>
      <c r="P52" s="515">
        <f>Aprēķini!O$246+Aprēķini!O$245*'Jutīguma analīze_IIA'!$B52</f>
        <v>9346.649403924981</v>
      </c>
      <c r="Q52" s="515">
        <f>Aprēķini!P$246+Aprēķini!P$245*'Jutīguma analīze_IIA'!$B52</f>
        <v>9307.5128763537014</v>
      </c>
      <c r="R52" s="515">
        <f>Aprēķini!Q$246+Aprēķini!Q$245*'Jutīguma analīze_IIA'!$B52</f>
        <v>12043.195324779479</v>
      </c>
      <c r="S52" s="515">
        <f>Aprēķini!R$246+Aprēķini!R$245*'Jutīguma analīze_IIA'!$B52</f>
        <v>8482.655907956283</v>
      </c>
      <c r="T52" s="515">
        <f>Aprēķini!S$246+Aprēķini!S$245*'Jutīguma analīze_IIA'!$B52</f>
        <v>12805.001798933143</v>
      </c>
      <c r="U52" s="515">
        <f>Aprēķini!T$246+Aprēķini!T$245*'Jutīguma analīze_IIA'!$B52</f>
        <v>8069.9020042691473</v>
      </c>
      <c r="V52" s="515">
        <f>Aprēķini!U$246+Aprēķini!U$245*'Jutīguma analīze_IIA'!$B52</f>
        <v>8211.1631046983675</v>
      </c>
      <c r="W52" s="515">
        <f>Aprēķini!V$246+Aprēķini!V$245*'Jutīguma analīze_IIA'!$B52</f>
        <v>7312.3196491360959</v>
      </c>
      <c r="X52" s="515">
        <f>Aprēķini!W$246+Aprēķini!W$245*'Jutīguma analīze_IIA'!$B52</f>
        <v>7245.4783775656269</v>
      </c>
      <c r="Y52" s="515">
        <f>Aprēķini!X$246+Aprēķini!X$245*'Jutīguma analīze_IIA'!$B52</f>
        <v>9951.8847214457892</v>
      </c>
      <c r="Z52" s="515">
        <f>Aprēķini!Y$246+Aprēķini!Y$245*'Jutīguma analīze_IIA'!$B52</f>
        <v>9885.0434498756658</v>
      </c>
      <c r="AA52" s="515">
        <f>Aprēķini!Z$246+Aprēķini!Z$245*'Jutīguma analīze_IIA'!$B52</f>
        <v>9469.7784457594535</v>
      </c>
      <c r="AB52" s="515">
        <f>Aprēķini!AA$246+Aprēķini!AA$245*'Jutīguma analīze_IIA'!$B52</f>
        <v>9749.7895461883636</v>
      </c>
      <c r="AC52" s="515">
        <f>Aprēķini!AB$246+Aprēķini!AB$245*'Jutīguma analīze_IIA'!$B52</f>
        <v>9716.7437162945989</v>
      </c>
      <c r="AD52" s="515">
        <f>Aprēķini!AC$246+Aprēķini!AC$245*'Jutīguma analīze_IIA'!$B52</f>
        <v>14818.192039452299</v>
      </c>
      <c r="AE52" s="515">
        <f>Aprēķini!AD$246+Aprēķini!AD$245*'Jutīguma analīze_IIA'!$B52</f>
        <v>35804.448804943422</v>
      </c>
      <c r="AF52" s="515">
        <f>Aprēķini!AE$246+Aprēķini!AE$245*'Jutīguma analīze_IIA'!$B52</f>
        <v>35994.838567593571</v>
      </c>
      <c r="AG52" s="515">
        <f>Aprēķini!AF$246+Aprēķini!AF$245*'Jutīguma analīze_IIA'!$B52</f>
        <v>27013.026624360704</v>
      </c>
      <c r="AH52" s="515">
        <f>Aprēķini!AG$246+Aprēķini!AG$245*'Jutīguma analīze_IIA'!$B52</f>
        <v>575730.80308786093</v>
      </c>
      <c r="AI52" s="515">
        <f>Aprēķini!AH$246+Aprēķini!AH$245*'Jutīguma analīze_IIA'!$B52</f>
        <v>27170.579551361072</v>
      </c>
    </row>
    <row r="53" spans="1:35" ht="12.75" x14ac:dyDescent="0.2">
      <c r="A53" s="642"/>
      <c r="B53" s="115">
        <v>0.05</v>
      </c>
      <c r="C53" s="515">
        <f>Aprēķini!B$246+Aprēķini!B$245*'Jutīguma analīze_IIA'!$B53</f>
        <v>-1180.4548</v>
      </c>
      <c r="D53" s="515">
        <f>Aprēķini!C$246+Aprēķini!C$245*'Jutīguma analīze_IIA'!$B53</f>
        <v>-1560.6390595270268</v>
      </c>
      <c r="E53" s="515">
        <f>Aprēķini!D$246+Aprēķini!D$245*'Jutīguma analīze_IIA'!$B53</f>
        <v>1308.4859099650728</v>
      </c>
      <c r="F53" s="515">
        <f>Aprēķini!E$246+Aprēķini!E$245*'Jutīguma analīze_IIA'!$B53</f>
        <v>8987.6448893366251</v>
      </c>
      <c r="G53" s="515">
        <f>Aprēķini!F$246+Aprēķini!F$245*'Jutīguma analīze_IIA'!$B53</f>
        <v>8903.9054300663956</v>
      </c>
      <c r="H53" s="515">
        <f>Aprēķini!G$246+Aprēķini!G$245*'Jutīguma analīze_IIA'!$B53</f>
        <v>9400.2802931770784</v>
      </c>
      <c r="I53" s="515">
        <f>Aprēķini!H$246+Aprēķini!H$245*'Jutīguma analīze_IIA'!$B53</f>
        <v>9364.8680899743867</v>
      </c>
      <c r="J53" s="515">
        <f>Aprēķini!I$246+Aprēķini!I$245*'Jutīguma analīze_IIA'!$B53</f>
        <v>9001.2010593611267</v>
      </c>
      <c r="K53" s="515">
        <f>Aprēķini!J$246+Aprēķini!J$245*'Jutīguma analīze_IIA'!$B53</f>
        <v>13150.840585835062</v>
      </c>
      <c r="L53" s="515">
        <f>Aprēķini!K$246+Aprēķini!K$245*'Jutīguma analīze_IIA'!$B53</f>
        <v>13483.532659766977</v>
      </c>
      <c r="M53" s="515">
        <f>Aprēķini!L$246+Aprēķini!L$245*'Jutīguma analīze_IIA'!$B53</f>
        <v>13449.448692847231</v>
      </c>
      <c r="N53" s="515">
        <f>Aprēķini!M$246+Aprēķini!M$245*'Jutīguma analīze_IIA'!$B53</f>
        <v>13762.217097926889</v>
      </c>
      <c r="O53" s="515">
        <f>Aprēķini!N$246+Aprēķini!N$245*'Jutīguma analīze_IIA'!$B53</f>
        <v>13726.561770460852</v>
      </c>
      <c r="P53" s="515">
        <f>Aprēķini!O$246+Aprēķini!O$245*'Jutīguma analīze_IIA'!$B53</f>
        <v>8830.4342909065599</v>
      </c>
      <c r="Q53" s="515">
        <f>Aprēķini!P$246+Aprēķini!P$245*'Jutīguma analīze_IIA'!$B53</f>
        <v>8790.2400193468657</v>
      </c>
      <c r="R53" s="515">
        <f>Aprēķini!Q$246+Aprēķini!Q$245*'Jutīguma analīze_IIA'!$B53</f>
        <v>11524.864723784229</v>
      </c>
      <c r="S53" s="515">
        <f>Aprēķini!R$246+Aprēķini!R$245*'Jutīguma analīze_IIA'!$B53</f>
        <v>8618.7675629726218</v>
      </c>
      <c r="T53" s="515">
        <f>Aprēķini!S$246+Aprēķini!S$245*'Jutīguma analīze_IIA'!$B53</f>
        <v>12954.305709961069</v>
      </c>
      <c r="U53" s="515">
        <f>Aprēķini!T$246+Aprēķini!T$245*'Jutīguma analīze_IIA'!$B53</f>
        <v>8232.3981713086578</v>
      </c>
      <c r="V53" s="515">
        <f>Aprēķini!U$246+Aprēķini!U$245*'Jutīguma analīze_IIA'!$B53</f>
        <v>8386.8515277494662</v>
      </c>
      <c r="W53" s="515">
        <f>Aprēķini!V$246+Aprēķini!V$245*'Jutīguma analīze_IIA'!$B53</f>
        <v>7688.7003281987818</v>
      </c>
      <c r="X53" s="515">
        <f>Aprēķini!W$246+Aprēķini!W$245*'Jutīguma analīze_IIA'!$B53</f>
        <v>7638.8013126399001</v>
      </c>
      <c r="Y53" s="515">
        <f>Aprēķini!X$246+Aprēķini!X$245*'Jutīguma analīze_IIA'!$B53</f>
        <v>10362.149912531648</v>
      </c>
      <c r="Z53" s="515">
        <f>Aprēķini!Y$246+Aprēķini!Y$245*'Jutīguma analīze_IIA'!$B53</f>
        <v>10312.250896973113</v>
      </c>
      <c r="AA53" s="515">
        <f>Aprēķini!Z$246+Aprēķini!Z$245*'Jutīguma analīze_IIA'!$B53</f>
        <v>9913.9281488684901</v>
      </c>
      <c r="AB53" s="515">
        <f>Aprēķini!AA$246+Aprēķini!AA$245*'Jutīguma analīze_IIA'!$B53</f>
        <v>10210.881505308982</v>
      </c>
      <c r="AC53" s="515">
        <f>Aprēķini!AB$246+Aprēķini!AB$245*'Jutīguma analīze_IIA'!$B53</f>
        <v>10139.487460351807</v>
      </c>
      <c r="AD53" s="515">
        <f>Aprēķini!AC$246+Aprēķini!AC$245*'Jutīguma analīze_IIA'!$B53</f>
        <v>14347.587568446093</v>
      </c>
      <c r="AE53" s="515">
        <f>Aprēķini!AD$246+Aprēķini!AD$245*'Jutīguma analīze_IIA'!$B53</f>
        <v>33235.996118873809</v>
      </c>
      <c r="AF53" s="515">
        <f>Aprēķini!AE$246+Aprēķini!AE$245*'Jutīguma analīze_IIA'!$B53</f>
        <v>33337.787666460543</v>
      </c>
      <c r="AG53" s="515">
        <f>Aprēķini!AF$246+Aprēķini!AF$245*'Jutīguma analīze_IIA'!$B53</f>
        <v>24311.232874673678</v>
      </c>
      <c r="AH53" s="515">
        <f>Aprēķini!AG$246+Aprēķini!AG$245*'Jutīguma analīze_IIA'!$B53</f>
        <v>572984.26648961985</v>
      </c>
      <c r="AI53" s="515">
        <f>Aprēķini!AH$246+Aprēķini!AH$245*'Jutīguma analīze_IIA'!$B53</f>
        <v>24379.300104566053</v>
      </c>
    </row>
    <row r="54" spans="1:35" ht="12.75" x14ac:dyDescent="0.2">
      <c r="A54" s="642"/>
      <c r="B54" s="115">
        <v>2.5000000000000001E-2</v>
      </c>
      <c r="C54" s="515">
        <f>Aprēķini!B$246+Aprēķini!B$245*'Jutīguma analīze_IIA'!$B54</f>
        <v>-1211.5194000000001</v>
      </c>
      <c r="D54" s="515">
        <f>Aprēķini!C$246+Aprēķini!C$245*'Jutīguma analīze_IIA'!$B54</f>
        <v>-1601.7085084619484</v>
      </c>
      <c r="E54" s="515">
        <f>Aprēķini!D$246+Aprēķini!D$245*'Jutīguma analīze_IIA'!$B54</f>
        <v>1251.6584218080445</v>
      </c>
      <c r="F54" s="515">
        <f>Aprēķini!E$246+Aprēķini!E$245*'Jutīguma analīze_IIA'!$B54</f>
        <v>8678.5912583357149</v>
      </c>
      <c r="G54" s="515">
        <f>Aprēķini!F$246+Aprēķini!F$245*'Jutīguma analīze_IIA'!$B54</f>
        <v>8576.3600658344167</v>
      </c>
      <c r="H54" s="515">
        <f>Aprēķini!G$246+Aprēķini!G$245*'Jutīguma analīze_IIA'!$B54</f>
        <v>9053.6588133318855</v>
      </c>
      <c r="I54" s="515">
        <f>Aprēķini!H$246+Aprēķini!H$245*'Jutīguma analīze_IIA'!$B54</f>
        <v>9017.8464707063613</v>
      </c>
      <c r="J54" s="515">
        <f>Aprēķini!I$246+Aprēķini!I$245*'Jutīguma analīze_IIA'!$B54</f>
        <v>8653.7783006702721</v>
      </c>
      <c r="K54" s="515">
        <f>Aprēķini!J$246+Aprēķini!J$245*'Jutīguma analīze_IIA'!$B54</f>
        <v>12803.045187721376</v>
      </c>
      <c r="L54" s="515">
        <f>Aprēķini!K$246+Aprēķini!K$245*'Jutīguma analīze_IIA'!$B54</f>
        <v>13135.36462223046</v>
      </c>
      <c r="M54" s="515">
        <f>Aprēķini!L$246+Aprēķini!L$245*'Jutīguma analīze_IIA'!$B54</f>
        <v>13045.617544812885</v>
      </c>
      <c r="N54" s="515">
        <f>Aprēķini!M$246+Aprēķini!M$245*'Jutīguma analīze_IIA'!$B54</f>
        <v>13302.72283939471</v>
      </c>
      <c r="O54" s="515">
        <f>Aprēķini!N$246+Aprēķini!N$245*'Jutīguma analīze_IIA'!$B54</f>
        <v>13211.404401430842</v>
      </c>
      <c r="P54" s="515">
        <f>Aprēķini!O$246+Aprēķini!O$245*'Jutīguma analīze_IIA'!$B54</f>
        <v>8314.2191778881388</v>
      </c>
      <c r="Q54" s="515">
        <f>Aprēķini!P$246+Aprēķini!P$245*'Jutīguma analīze_IIA'!$B54</f>
        <v>8272.9671623400282</v>
      </c>
      <c r="R54" s="515">
        <f>Aprēķini!Q$246+Aprēķini!Q$245*'Jutīguma analīze_IIA'!$B54</f>
        <v>11006.53412278898</v>
      </c>
      <c r="S54" s="515">
        <f>Aprēķini!R$246+Aprēķini!R$245*'Jutīguma analīze_IIA'!$B54</f>
        <v>8754.8792179889606</v>
      </c>
      <c r="T54" s="515">
        <f>Aprēķini!S$246+Aprēķini!S$245*'Jutīguma analīze_IIA'!$B54</f>
        <v>13103.609620988993</v>
      </c>
      <c r="U54" s="515">
        <f>Aprēķini!T$246+Aprēķini!T$245*'Jutīguma analīze_IIA'!$B54</f>
        <v>8394.8943383481692</v>
      </c>
      <c r="V54" s="515">
        <f>Aprēķini!U$246+Aprēķini!U$245*'Jutīguma analīze_IIA'!$B54</f>
        <v>8562.5399508005667</v>
      </c>
      <c r="W54" s="515">
        <f>Aprēķini!V$246+Aprēķini!V$245*'Jutīguma analīze_IIA'!$B54</f>
        <v>8065.0810072614677</v>
      </c>
      <c r="X54" s="515">
        <f>Aprēķini!W$246+Aprēķini!W$245*'Jutīguma analīze_IIA'!$B54</f>
        <v>8032.1242477141741</v>
      </c>
      <c r="Y54" s="515">
        <f>Aprēķini!X$246+Aprēķini!X$245*'Jutīguma analīze_IIA'!$B54</f>
        <v>10772.415103617504</v>
      </c>
      <c r="Z54" s="515">
        <f>Aprēķini!Y$246+Aprēķini!Y$245*'Jutīguma analīze_IIA'!$B54</f>
        <v>10739.458344070561</v>
      </c>
      <c r="AA54" s="515">
        <f>Aprēķini!Z$246+Aprēķini!Z$245*'Jutīguma analīze_IIA'!$B54</f>
        <v>10358.077851977525</v>
      </c>
      <c r="AB54" s="515">
        <f>Aprēķini!AA$246+Aprēķini!AA$245*'Jutīguma analīze_IIA'!$B54</f>
        <v>10671.973464429602</v>
      </c>
      <c r="AC54" s="515">
        <f>Aprēķini!AB$246+Aprēķini!AB$245*'Jutīguma analīze_IIA'!$B54</f>
        <v>10562.231204409014</v>
      </c>
      <c r="AD54" s="515">
        <f>Aprēķini!AC$246+Aprēķini!AC$245*'Jutīguma analīze_IIA'!$B54</f>
        <v>13876.98309743989</v>
      </c>
      <c r="AE54" s="515">
        <f>Aprēķini!AD$246+Aprēķini!AD$245*'Jutīguma analīze_IIA'!$B54</f>
        <v>30667.543432804188</v>
      </c>
      <c r="AF54" s="515">
        <f>Aprēķini!AE$246+Aprēķini!AE$245*'Jutīguma analīze_IIA'!$B54</f>
        <v>30680.736765327514</v>
      </c>
      <c r="AG54" s="515">
        <f>Aprēķini!AF$246+Aprēķini!AF$245*'Jutīguma analīze_IIA'!$B54</f>
        <v>21609.439124986653</v>
      </c>
      <c r="AH54" s="515">
        <f>Aprēķini!AG$246+Aprēķini!AG$245*'Jutīguma analīze_IIA'!$B54</f>
        <v>570237.7298913789</v>
      </c>
      <c r="AI54" s="515">
        <f>Aprēķini!AH$246+Aprēķini!AH$245*'Jutīguma analīze_IIA'!$B54</f>
        <v>21588.020657771034</v>
      </c>
    </row>
    <row r="55" spans="1:35" ht="12.75" x14ac:dyDescent="0.2">
      <c r="A55" s="642"/>
      <c r="B55" s="115">
        <v>0.01</v>
      </c>
      <c r="C55" s="515">
        <f>Aprēķini!B$246+Aprēķini!B$245*'Jutīguma analīze_IIA'!$B55</f>
        <v>-1230.15816</v>
      </c>
      <c r="D55" s="515">
        <f>Aprēķini!C$246+Aprēķini!C$245*'Jutīguma analīze_IIA'!$B55</f>
        <v>-1626.3501778229015</v>
      </c>
      <c r="E55" s="515">
        <f>Aprēķini!D$246+Aprēķini!D$245*'Jutīguma analīze_IIA'!$B55</f>
        <v>1217.5619289138278</v>
      </c>
      <c r="F55" s="515">
        <f>Aprēķini!E$246+Aprēķini!E$245*'Jutīguma analīze_IIA'!$B55</f>
        <v>8493.1590797351691</v>
      </c>
      <c r="G55" s="515">
        <f>Aprēķini!F$246+Aprēķini!F$245*'Jutīguma analīze_IIA'!$B55</f>
        <v>8379.8328472952289</v>
      </c>
      <c r="H55" s="515">
        <f>Aprēķini!G$246+Aprēķini!G$245*'Jutīguma analīze_IIA'!$B55</f>
        <v>8845.6859254247702</v>
      </c>
      <c r="I55" s="515">
        <f>Aprēķini!H$246+Aprēķini!H$245*'Jutīguma analīze_IIA'!$B55</f>
        <v>8809.6334991455478</v>
      </c>
      <c r="J55" s="515">
        <f>Aprēķini!I$246+Aprēķini!I$245*'Jutīguma analīze_IIA'!$B55</f>
        <v>8445.3246454557593</v>
      </c>
      <c r="K55" s="515">
        <f>Aprēķini!J$246+Aprēķini!J$245*'Jutīguma analīze_IIA'!$B55</f>
        <v>12594.367948853163</v>
      </c>
      <c r="L55" s="515">
        <f>Aprēķini!K$246+Aprēķini!K$245*'Jutīguma analīze_IIA'!$B55</f>
        <v>12926.463799708548</v>
      </c>
      <c r="M55" s="515">
        <f>Aprēķini!L$246+Aprēķini!L$245*'Jutīguma analīze_IIA'!$B55</f>
        <v>12803.318855992276</v>
      </c>
      <c r="N55" s="515">
        <f>Aprēķini!M$246+Aprēķini!M$245*'Jutīguma analīze_IIA'!$B55</f>
        <v>13027.026284275402</v>
      </c>
      <c r="O55" s="515">
        <f>Aprēķini!N$246+Aprēķini!N$245*'Jutīguma analīze_IIA'!$B55</f>
        <v>12902.309980012837</v>
      </c>
      <c r="P55" s="515">
        <f>Aprēķini!O$246+Aprēķini!O$245*'Jutīguma analīze_IIA'!$B55</f>
        <v>8004.4901100770858</v>
      </c>
      <c r="Q55" s="515">
        <f>Aprēķini!P$246+Aprēķini!P$245*'Jutīguma analīze_IIA'!$B55</f>
        <v>7962.6034481359275</v>
      </c>
      <c r="R55" s="515">
        <f>Aprēķini!Q$246+Aprēķini!Q$245*'Jutīguma analīze_IIA'!$B55</f>
        <v>10695.53576219183</v>
      </c>
      <c r="S55" s="515">
        <f>Aprēķini!R$246+Aprēķini!R$245*'Jutīguma analīze_IIA'!$B55</f>
        <v>8836.5462109987639</v>
      </c>
      <c r="T55" s="515">
        <f>Aprēķini!S$246+Aprēķini!S$245*'Jutīguma analīze_IIA'!$B55</f>
        <v>13193.19196760575</v>
      </c>
      <c r="U55" s="515">
        <f>Aprēķini!T$246+Aprēķini!T$245*'Jutīguma analīze_IIA'!$B55</f>
        <v>8492.3920385718757</v>
      </c>
      <c r="V55" s="515">
        <f>Aprēķini!U$246+Aprēķini!U$245*'Jutīguma analīze_IIA'!$B55</f>
        <v>8667.9530046312266</v>
      </c>
      <c r="W55" s="515">
        <f>Aprēķini!V$246+Aprēķini!V$245*'Jutīguma analīze_IIA'!$B55</f>
        <v>8290.9094146990792</v>
      </c>
      <c r="X55" s="515">
        <f>Aprēķini!W$246+Aprēķini!W$245*'Jutīguma analīze_IIA'!$B55</f>
        <v>8268.1180087587381</v>
      </c>
      <c r="Y55" s="515">
        <f>Aprēķini!X$246+Aprēķini!X$245*'Jutīguma analīze_IIA'!$B55</f>
        <v>11018.574218269019</v>
      </c>
      <c r="Z55" s="515">
        <f>Aprēķini!Y$246+Aprēķini!Y$245*'Jutīguma analīze_IIA'!$B55</f>
        <v>10995.782812329029</v>
      </c>
      <c r="AA55" s="515">
        <f>Aprēķini!Z$246+Aprēķini!Z$245*'Jutīguma analīze_IIA'!$B55</f>
        <v>10624.567673842947</v>
      </c>
      <c r="AB55" s="515">
        <f>Aprēķini!AA$246+Aprēķini!AA$245*'Jutīguma analīze_IIA'!$B55</f>
        <v>10948.628639901974</v>
      </c>
      <c r="AC55" s="515">
        <f>Aprēķini!AB$246+Aprēķini!AB$245*'Jutīguma analīze_IIA'!$B55</f>
        <v>10815.877450843338</v>
      </c>
      <c r="AD55" s="515">
        <f>Aprēķini!AC$246+Aprēķini!AC$245*'Jutīguma analīze_IIA'!$B55</f>
        <v>13594.620414836167</v>
      </c>
      <c r="AE55" s="515">
        <f>Aprēķini!AD$246+Aprēķini!AD$245*'Jutīguma analīze_IIA'!$B55</f>
        <v>29126.471821162417</v>
      </c>
      <c r="AF55" s="515">
        <f>Aprēķini!AE$246+Aprēķini!AE$245*'Jutīguma analīze_IIA'!$B55</f>
        <v>29086.506224647695</v>
      </c>
      <c r="AG55" s="515">
        <f>Aprēķini!AF$246+Aprēķini!AF$245*'Jutīguma analīze_IIA'!$B55</f>
        <v>19988.36287517444</v>
      </c>
      <c r="AH55" s="515">
        <f>Aprēķini!AG$246+Aprēķini!AG$245*'Jutīguma analīze_IIA'!$B55</f>
        <v>568589.80793243425</v>
      </c>
      <c r="AI55" s="515">
        <f>Aprēķini!AH$246+Aprēķini!AH$245*'Jutīguma analīze_IIA'!$B55</f>
        <v>19913.252989694025</v>
      </c>
    </row>
    <row r="56" spans="1:35" ht="12.75" x14ac:dyDescent="0.2">
      <c r="A56" s="642"/>
      <c r="B56" s="116">
        <v>0</v>
      </c>
      <c r="C56" s="583">
        <f>Aprēķini!B$246+Aprēķini!B$245*'Jutīguma analīze_IIA'!$B56</f>
        <v>-1242.5840000000001</v>
      </c>
      <c r="D56" s="583">
        <f>Aprēķini!C$246+Aprēķini!C$245*'Jutīguma analīze_IIA'!$B56</f>
        <v>-1642.7779573968703</v>
      </c>
      <c r="E56" s="583">
        <f>Aprēķini!D$246+Aprēķini!D$245*'Jutīguma analīze_IIA'!$B56</f>
        <v>1194.8309336510165</v>
      </c>
      <c r="F56" s="583">
        <f>Aprēķini!E$246+Aprēķini!E$245*'Jutīguma analīze_IIA'!$B56</f>
        <v>8369.5376273348047</v>
      </c>
      <c r="G56" s="583">
        <f>Aprēķini!F$246+Aprēķini!F$245*'Jutīguma analīze_IIA'!$B56</f>
        <v>8248.8147016024377</v>
      </c>
      <c r="H56" s="583">
        <f>Aprēķini!G$246+Aprēķini!G$245*'Jutīguma analīze_IIA'!$B56</f>
        <v>8707.0373334866927</v>
      </c>
      <c r="I56" s="583">
        <f>Aprēķini!H$246+Aprēķini!H$245*'Jutīguma analīze_IIA'!$B56</f>
        <v>8670.8248514383376</v>
      </c>
      <c r="J56" s="583">
        <f>Aprēķini!I$246+Aprēķini!I$245*'Jutīguma analīze_IIA'!$B56</f>
        <v>8306.3555419794175</v>
      </c>
      <c r="K56" s="583">
        <f>Aprēķini!J$246+Aprēķini!J$245*'Jutīguma analīze_IIA'!$B56</f>
        <v>12455.249789607689</v>
      </c>
      <c r="L56" s="583">
        <f>Aprēķini!K$246+Aprēķini!K$245*'Jutīguma analīze_IIA'!$B56</f>
        <v>12787.196584693942</v>
      </c>
      <c r="M56" s="583">
        <f>Aprēķini!L$246+Aprēķini!L$245*'Jutīguma analīze_IIA'!$B56</f>
        <v>12641.786396778538</v>
      </c>
      <c r="N56" s="583">
        <f>Aprēķini!M$246+Aprēķini!M$245*'Jutīguma analīze_IIA'!$B56</f>
        <v>12843.228580862531</v>
      </c>
      <c r="O56" s="583">
        <f>Aprēķini!N$246+Aprēķini!N$245*'Jutīguma analīze_IIA'!$B56</f>
        <v>12696.247032400832</v>
      </c>
      <c r="P56" s="583">
        <f>Aprēķini!O$246+Aprēķini!O$245*'Jutīguma analīze_IIA'!$B56</f>
        <v>7798.0040648697177</v>
      </c>
      <c r="Q56" s="583">
        <f>Aprēķini!P$246+Aprēķini!P$245*'Jutīguma analīze_IIA'!$B56</f>
        <v>7755.6943053331925</v>
      </c>
      <c r="R56" s="583">
        <f>Aprēķini!Q$246+Aprēķini!Q$245*'Jutīguma analīze_IIA'!$B56</f>
        <v>10488.20352179373</v>
      </c>
      <c r="S56" s="583">
        <f>Aprēķini!R$246+Aprēķini!R$245*'Jutīguma analīze_IIA'!$B56</f>
        <v>8890.9908730052994</v>
      </c>
      <c r="T56" s="583">
        <f>Aprēķini!S$246+Aprēķini!S$245*'Jutīguma analīze_IIA'!$B56</f>
        <v>13252.913532016919</v>
      </c>
      <c r="U56" s="583">
        <f>Aprēķini!T$246+Aprēķini!T$245*'Jutīguma analīze_IIA'!$B56</f>
        <v>8557.3905053876806</v>
      </c>
      <c r="V56" s="583">
        <f>Aprēķini!U$246+Aprēķini!U$245*'Jutīguma analīze_IIA'!$B56</f>
        <v>8738.2283738516671</v>
      </c>
      <c r="W56" s="583">
        <f>Aprēķini!V$246+Aprēķini!V$245*'Jutīguma analīze_IIA'!$B56</f>
        <v>8441.4616863241536</v>
      </c>
      <c r="X56" s="583">
        <f>Aprēķini!W$246+Aprēķini!W$245*'Jutīguma analīze_IIA'!$B56</f>
        <v>8425.4471827884481</v>
      </c>
      <c r="Y56" s="583">
        <f>Aprēķini!X$246+Aprēķini!X$245*'Jutīguma analīze_IIA'!$B56</f>
        <v>11182.680294703361</v>
      </c>
      <c r="Z56" s="583">
        <f>Aprēķini!Y$246+Aprēķini!Y$245*'Jutīguma analīze_IIA'!$B56</f>
        <v>11166.665791168009</v>
      </c>
      <c r="AA56" s="583">
        <f>Aprēķini!Z$246+Aprēķini!Z$245*'Jutīguma analīze_IIA'!$B56</f>
        <v>10802.22755508656</v>
      </c>
      <c r="AB56" s="583">
        <f>Aprēķini!AA$246+Aprēķini!AA$245*'Jutīguma analīze_IIA'!$B56</f>
        <v>11133.065423550222</v>
      </c>
      <c r="AC56" s="583">
        <f>Aprēķini!AB$246+Aprēķini!AB$245*'Jutīguma analīze_IIA'!$B56</f>
        <v>10984.974948466221</v>
      </c>
      <c r="AD56" s="583">
        <f>Aprēķini!AC$246+Aprēķini!AC$245*'Jutīguma analīze_IIA'!$B56</f>
        <v>13406.378626433685</v>
      </c>
      <c r="AE56" s="583">
        <f>Aprēķini!AD$246+Aprēķini!AD$245*'Jutīguma analīze_IIA'!$B56</f>
        <v>28099.090746734568</v>
      </c>
      <c r="AF56" s="583">
        <f>Aprēķini!AE$246+Aprēķini!AE$245*'Jutīguma analīze_IIA'!$B56</f>
        <v>28023.685864194485</v>
      </c>
      <c r="AG56" s="583">
        <f>Aprēķini!AF$246+Aprēķini!AF$245*'Jutīguma analīze_IIA'!$B56</f>
        <v>18907.645375299631</v>
      </c>
      <c r="AH56" s="583">
        <f>Aprēķini!AG$246+Aprēķini!AG$245*'Jutīguma analīze_IIA'!$B56</f>
        <v>567491.19329313783</v>
      </c>
      <c r="AI56" s="583">
        <f>Aprēķini!AH$246+Aprēķini!AH$245*'Jutīguma analīze_IIA'!$B56</f>
        <v>18796.741210976019</v>
      </c>
    </row>
    <row r="57" spans="1:35" ht="12.75" x14ac:dyDescent="0.2">
      <c r="A57" s="642"/>
      <c r="B57" s="115">
        <v>-0.01</v>
      </c>
      <c r="C57" s="515">
        <f>Aprēķini!B$246+Aprēķini!B$245*'Jutīguma analīze_IIA'!$B57</f>
        <v>-1255.0098400000002</v>
      </c>
      <c r="D57" s="515">
        <f>Aprēķini!C$246+Aprēķini!C$245*'Jutīguma analīze_IIA'!$B57</f>
        <v>-1659.2057369708391</v>
      </c>
      <c r="E57" s="515">
        <f>Aprēķini!D$246+Aprēķini!D$245*'Jutīguma analīze_IIA'!$B57</f>
        <v>1172.0999383882051</v>
      </c>
      <c r="F57" s="515">
        <f>Aprēķini!E$246+Aprēķini!E$245*'Jutīguma analīze_IIA'!$B57</f>
        <v>8245.9161749344403</v>
      </c>
      <c r="G57" s="515">
        <f>Aprēķini!F$246+Aprēķini!F$245*'Jutīguma analīze_IIA'!$B57</f>
        <v>8117.7965559096465</v>
      </c>
      <c r="H57" s="515">
        <f>Aprēķini!G$246+Aprēķini!G$245*'Jutīguma analīze_IIA'!$B57</f>
        <v>8568.3887415486151</v>
      </c>
      <c r="I57" s="515">
        <f>Aprēķini!H$246+Aprēķini!H$245*'Jutīguma analīze_IIA'!$B57</f>
        <v>8532.0162037311275</v>
      </c>
      <c r="J57" s="515">
        <f>Aprēķini!I$246+Aprēķini!I$245*'Jutīguma analīze_IIA'!$B57</f>
        <v>8167.3864385030756</v>
      </c>
      <c r="K57" s="515">
        <f>Aprēķini!J$246+Aprēķini!J$245*'Jutīguma analīze_IIA'!$B57</f>
        <v>12316.131630362215</v>
      </c>
      <c r="L57" s="515">
        <f>Aprēķini!K$246+Aprēķini!K$245*'Jutīguma analīze_IIA'!$B57</f>
        <v>12647.929369679336</v>
      </c>
      <c r="M57" s="515">
        <f>Aprēķini!L$246+Aprēķini!L$245*'Jutīguma analīze_IIA'!$B57</f>
        <v>12480.253937564799</v>
      </c>
      <c r="N57" s="515">
        <f>Aprēķini!M$246+Aprēķini!M$245*'Jutīguma analīze_IIA'!$B57</f>
        <v>12659.43087744966</v>
      </c>
      <c r="O57" s="515">
        <f>Aprēķini!N$246+Aprēķini!N$245*'Jutīguma analīze_IIA'!$B57</f>
        <v>12490.184084788827</v>
      </c>
      <c r="P57" s="515">
        <f>Aprēķini!O$246+Aprēķini!O$245*'Jutīguma analīze_IIA'!$B57</f>
        <v>7591.5180196623496</v>
      </c>
      <c r="Q57" s="515">
        <f>Aprēķini!P$246+Aprēķini!P$245*'Jutīguma analīze_IIA'!$B57</f>
        <v>7548.7851625304575</v>
      </c>
      <c r="R57" s="515">
        <f>Aprēķini!Q$246+Aprēķini!Q$245*'Jutīguma analīze_IIA'!$B57</f>
        <v>10280.87128139563</v>
      </c>
      <c r="S57" s="515">
        <f>Aprēķini!R$246+Aprēķini!R$245*'Jutīguma analīze_IIA'!$B57</f>
        <v>8945.4355350118349</v>
      </c>
      <c r="T57" s="515">
        <f>Aprēķini!S$246+Aprēķini!S$245*'Jutīguma analīze_IIA'!$B57</f>
        <v>13312.635096428088</v>
      </c>
      <c r="U57" s="515">
        <f>Aprēķini!T$246+Aprēķini!T$245*'Jutīguma analīze_IIA'!$B57</f>
        <v>8622.3889722034855</v>
      </c>
      <c r="V57" s="515">
        <f>Aprēķini!U$246+Aprēķini!U$245*'Jutīguma analīze_IIA'!$B57</f>
        <v>8808.5037430721077</v>
      </c>
      <c r="W57" s="515">
        <f>Aprēķini!V$246+Aprēķini!V$245*'Jutīguma analīze_IIA'!$B57</f>
        <v>8592.0139579492279</v>
      </c>
      <c r="X57" s="515">
        <f>Aprēķini!W$246+Aprēķini!W$245*'Jutīguma analīze_IIA'!$B57</f>
        <v>8582.7763568181581</v>
      </c>
      <c r="Y57" s="515">
        <f>Aprēķini!X$246+Aprēķini!X$245*'Jutīguma analīze_IIA'!$B57</f>
        <v>11346.786371137703</v>
      </c>
      <c r="Z57" s="515">
        <f>Aprēķini!Y$246+Aprēķini!Y$245*'Jutīguma analīze_IIA'!$B57</f>
        <v>11337.548770006988</v>
      </c>
      <c r="AA57" s="515">
        <f>Aprēķini!Z$246+Aprēķini!Z$245*'Jutīguma analīze_IIA'!$B57</f>
        <v>10979.887436330173</v>
      </c>
      <c r="AB57" s="515">
        <f>Aprēķini!AA$246+Aprēķini!AA$245*'Jutīguma analīze_IIA'!$B57</f>
        <v>11317.502207198471</v>
      </c>
      <c r="AC57" s="515">
        <f>Aprēķini!AB$246+Aprēķini!AB$245*'Jutīguma analīze_IIA'!$B57</f>
        <v>11154.072446089103</v>
      </c>
      <c r="AD57" s="515">
        <f>Aprēķini!AC$246+Aprēķini!AC$245*'Jutīguma analīze_IIA'!$B57</f>
        <v>13218.136838031203</v>
      </c>
      <c r="AE57" s="515">
        <f>Aprēķini!AD$246+Aprēķini!AD$245*'Jutīguma analīze_IIA'!$B57</f>
        <v>27071.709672306719</v>
      </c>
      <c r="AF57" s="515">
        <f>Aprēķini!AE$246+Aprēķini!AE$245*'Jutīguma analīze_IIA'!$B57</f>
        <v>26960.865503741275</v>
      </c>
      <c r="AG57" s="515">
        <f>Aprēķini!AF$246+Aprēķini!AF$245*'Jutīguma analīze_IIA'!$B57</f>
        <v>17826.927875424823</v>
      </c>
      <c r="AH57" s="515">
        <f>Aprēķini!AG$246+Aprēķini!AG$245*'Jutīguma analīze_IIA'!$B57</f>
        <v>566392.5786538414</v>
      </c>
      <c r="AI57" s="515">
        <f>Aprēķini!AH$246+Aprēķini!AH$245*'Jutīguma analīze_IIA'!$B57</f>
        <v>17680.229432258013</v>
      </c>
    </row>
    <row r="58" spans="1:35" ht="12.75" x14ac:dyDescent="0.2">
      <c r="A58" s="642"/>
      <c r="B58" s="115">
        <v>-2.5000000000000001E-2</v>
      </c>
      <c r="C58" s="515">
        <f>Aprēķini!B$246+Aprēķini!B$245*'Jutīguma analīze_IIA'!$B58</f>
        <v>-1273.6486</v>
      </c>
      <c r="D58" s="515">
        <f>Aprēķini!C$246+Aprēķini!C$245*'Jutīguma analīze_IIA'!$B58</f>
        <v>-1683.8474063317922</v>
      </c>
      <c r="E58" s="515">
        <f>Aprēķini!D$246+Aprēķini!D$245*'Jutīguma analīze_IIA'!$B58</f>
        <v>1138.0034454939885</v>
      </c>
      <c r="F58" s="515">
        <f>Aprēķini!E$246+Aprēķini!E$245*'Jutīguma analīze_IIA'!$B58</f>
        <v>8060.4839963338945</v>
      </c>
      <c r="G58" s="515">
        <f>Aprēķini!F$246+Aprēķini!F$245*'Jutīguma analīze_IIA'!$B58</f>
        <v>7921.2693373704587</v>
      </c>
      <c r="H58" s="515">
        <f>Aprēķini!G$246+Aprēķini!G$245*'Jutīguma analīze_IIA'!$B58</f>
        <v>8360.4158536414998</v>
      </c>
      <c r="I58" s="515">
        <f>Aprēķini!H$246+Aprēķini!H$245*'Jutīguma analīze_IIA'!$B58</f>
        <v>8323.803232170314</v>
      </c>
      <c r="J58" s="515">
        <f>Aprēķini!I$246+Aprēķini!I$245*'Jutīguma analīze_IIA'!$B58</f>
        <v>7958.9327832885629</v>
      </c>
      <c r="K58" s="515">
        <f>Aprēķini!J$246+Aprēķini!J$245*'Jutīguma analīze_IIA'!$B58</f>
        <v>12107.454391494002</v>
      </c>
      <c r="L58" s="515">
        <f>Aprēķini!K$246+Aprēķini!K$245*'Jutīguma analīze_IIA'!$B58</f>
        <v>12439.028547157424</v>
      </c>
      <c r="M58" s="515">
        <f>Aprēķini!L$246+Aprēķini!L$245*'Jutīguma analīze_IIA'!$B58</f>
        <v>12237.955248744191</v>
      </c>
      <c r="N58" s="515">
        <f>Aprēķini!M$246+Aprēķini!M$245*'Jutīguma analīze_IIA'!$B58</f>
        <v>12383.734322330352</v>
      </c>
      <c r="O58" s="515">
        <f>Aprēķini!N$246+Aprēķini!N$245*'Jutīguma analīze_IIA'!$B58</f>
        <v>12181.089663370822</v>
      </c>
      <c r="P58" s="515">
        <f>Aprēķini!O$246+Aprēķini!O$245*'Jutīguma analīze_IIA'!$B58</f>
        <v>7281.7889518512966</v>
      </c>
      <c r="Q58" s="515">
        <f>Aprēķini!P$246+Aprēķini!P$245*'Jutīguma analīze_IIA'!$B58</f>
        <v>7238.4214483263559</v>
      </c>
      <c r="R58" s="515">
        <f>Aprēķini!Q$246+Aprēķini!Q$245*'Jutīguma analīze_IIA'!$B58</f>
        <v>9969.8729207984798</v>
      </c>
      <c r="S58" s="515">
        <f>Aprēķini!R$246+Aprēķini!R$245*'Jutīguma analīze_IIA'!$B58</f>
        <v>9027.1025280216381</v>
      </c>
      <c r="T58" s="515">
        <f>Aprēķini!S$246+Aprēķini!S$245*'Jutīguma analīze_IIA'!$B58</f>
        <v>13402.217443044845</v>
      </c>
      <c r="U58" s="515">
        <f>Aprēķini!T$246+Aprēķini!T$245*'Jutīguma analīze_IIA'!$B58</f>
        <v>8719.886672427192</v>
      </c>
      <c r="V58" s="515">
        <f>Aprēķini!U$246+Aprēķini!U$245*'Jutīguma analīze_IIA'!$B58</f>
        <v>8913.9167969027676</v>
      </c>
      <c r="W58" s="515">
        <f>Aprēķini!V$246+Aprēķini!V$245*'Jutīguma analīze_IIA'!$B58</f>
        <v>8817.8423653868394</v>
      </c>
      <c r="X58" s="515">
        <f>Aprēķini!W$246+Aprēķini!W$245*'Jutīguma analīze_IIA'!$B58</f>
        <v>8818.7701178627212</v>
      </c>
      <c r="Y58" s="515">
        <f>Aprēķini!X$246+Aprēķini!X$245*'Jutīguma analīze_IIA'!$B58</f>
        <v>11592.945485789218</v>
      </c>
      <c r="Z58" s="515">
        <f>Aprēķini!Y$246+Aprēķini!Y$245*'Jutīguma analīze_IIA'!$B58</f>
        <v>11593.873238265456</v>
      </c>
      <c r="AA58" s="515">
        <f>Aprēķini!Z$246+Aprēķini!Z$245*'Jutīguma analīze_IIA'!$B58</f>
        <v>11246.377258195595</v>
      </c>
      <c r="AB58" s="515">
        <f>Aprēķini!AA$246+Aprēķini!AA$245*'Jutīguma analīze_IIA'!$B58</f>
        <v>11594.157382670843</v>
      </c>
      <c r="AC58" s="515">
        <f>Aprēķini!AB$246+Aprēķini!AB$245*'Jutīguma analīze_IIA'!$B58</f>
        <v>11407.718692523427</v>
      </c>
      <c r="AD58" s="515">
        <f>Aprēķini!AC$246+Aprēķini!AC$245*'Jutīguma analīze_IIA'!$B58</f>
        <v>12935.77415542748</v>
      </c>
      <c r="AE58" s="515">
        <f>Aprēķini!AD$246+Aprēķini!AD$245*'Jutīguma analīze_IIA'!$B58</f>
        <v>25530.638060664947</v>
      </c>
      <c r="AF58" s="515">
        <f>Aprēķini!AE$246+Aprēķini!AE$245*'Jutīguma analīze_IIA'!$B58</f>
        <v>25366.634963061457</v>
      </c>
      <c r="AG58" s="515">
        <f>Aprēķini!AF$246+Aprēķini!AF$245*'Jutīguma analīze_IIA'!$B58</f>
        <v>16205.851625612608</v>
      </c>
      <c r="AH58" s="515">
        <f>Aprēķini!AG$246+Aprēķini!AG$245*'Jutīguma analīze_IIA'!$B58</f>
        <v>564744.65669489675</v>
      </c>
      <c r="AI58" s="515">
        <f>Aprēķini!AH$246+Aprēķini!AH$245*'Jutīguma analīze_IIA'!$B58</f>
        <v>16005.461764181002</v>
      </c>
    </row>
    <row r="59" spans="1:35" ht="12.75" x14ac:dyDescent="0.2">
      <c r="A59" s="642"/>
      <c r="B59" s="115">
        <v>-0.05</v>
      </c>
      <c r="C59" s="515">
        <f>Aprēķini!B$246+Aprēķini!B$245*'Jutīguma analīze_IIA'!$B59</f>
        <v>-1304.7132000000001</v>
      </c>
      <c r="D59" s="515">
        <f>Aprēķini!C$246+Aprēķini!C$245*'Jutīguma analīze_IIA'!$B59</f>
        <v>-1724.9168552667138</v>
      </c>
      <c r="E59" s="515">
        <f>Aprēķini!D$246+Aprēķini!D$245*'Jutīguma analīze_IIA'!$B59</f>
        <v>1081.1759573369602</v>
      </c>
      <c r="F59" s="515">
        <f>Aprēķini!E$246+Aprēķini!E$245*'Jutīguma analīze_IIA'!$B59</f>
        <v>7751.4303653329835</v>
      </c>
      <c r="G59" s="515">
        <f>Aprēķini!F$246+Aprēķini!F$245*'Jutīguma analīze_IIA'!$B59</f>
        <v>7593.7239731384807</v>
      </c>
      <c r="H59" s="515">
        <f>Aprēķini!G$246+Aprēķini!G$245*'Jutīguma analīze_IIA'!$B59</f>
        <v>8013.794373796306</v>
      </c>
      <c r="I59" s="515">
        <f>Aprēķini!H$246+Aprēķini!H$245*'Jutīguma analīze_IIA'!$B59</f>
        <v>7976.7816129022895</v>
      </c>
      <c r="J59" s="515">
        <f>Aprēķini!I$246+Aprēķini!I$245*'Jutīguma analīze_IIA'!$B59</f>
        <v>7611.5100245977083</v>
      </c>
      <c r="K59" s="515">
        <f>Aprēķini!J$246+Aprēķini!J$245*'Jutīguma analīze_IIA'!$B59</f>
        <v>11759.658993380317</v>
      </c>
      <c r="L59" s="515">
        <f>Aprēķini!K$246+Aprēķini!K$245*'Jutīguma analīze_IIA'!$B59</f>
        <v>12090.860509620907</v>
      </c>
      <c r="M59" s="515">
        <f>Aprēķini!L$246+Aprēķini!L$245*'Jutīguma analīze_IIA'!$B59</f>
        <v>11834.124100709845</v>
      </c>
      <c r="N59" s="515">
        <f>Aprēķini!M$246+Aprēķini!M$245*'Jutīguma analīze_IIA'!$B59</f>
        <v>11924.240063798174</v>
      </c>
      <c r="O59" s="515">
        <f>Aprēķini!N$246+Aprēķini!N$245*'Jutīguma analīze_IIA'!$B59</f>
        <v>11665.932294340811</v>
      </c>
      <c r="P59" s="515">
        <f>Aprēķini!O$246+Aprēķini!O$245*'Jutīguma analīze_IIA'!$B59</f>
        <v>6765.5738388328755</v>
      </c>
      <c r="Q59" s="515">
        <f>Aprēķini!P$246+Aprēķini!P$245*'Jutīguma analīze_IIA'!$B59</f>
        <v>6721.1485913195193</v>
      </c>
      <c r="R59" s="515">
        <f>Aprēķini!Q$246+Aprēķini!Q$245*'Jutīguma analīze_IIA'!$B59</f>
        <v>9451.5423198032313</v>
      </c>
      <c r="S59" s="515">
        <f>Aprēķini!R$246+Aprēķini!R$245*'Jutīguma analīze_IIA'!$B59</f>
        <v>9163.2141830379769</v>
      </c>
      <c r="T59" s="515">
        <f>Aprēķini!S$246+Aprēķini!S$245*'Jutīguma analīze_IIA'!$B59</f>
        <v>13551.521354072769</v>
      </c>
      <c r="U59" s="515">
        <f>Aprēķini!T$246+Aprēķini!T$245*'Jutīguma analīze_IIA'!$B59</f>
        <v>8882.3828394667034</v>
      </c>
      <c r="V59" s="515">
        <f>Aprēķini!U$246+Aprēķini!U$245*'Jutīguma analīze_IIA'!$B59</f>
        <v>9089.6052199538681</v>
      </c>
      <c r="W59" s="515">
        <f>Aprēķini!V$246+Aprēķini!V$245*'Jutīguma analīze_IIA'!$B59</f>
        <v>9194.2230444495253</v>
      </c>
      <c r="X59" s="515">
        <f>Aprēķini!W$246+Aprēķini!W$245*'Jutīguma analīze_IIA'!$B59</f>
        <v>9212.0930529369962</v>
      </c>
      <c r="Y59" s="515">
        <f>Aprēķini!X$246+Aprēķini!X$245*'Jutīguma analīze_IIA'!$B59</f>
        <v>12003.210676875075</v>
      </c>
      <c r="Z59" s="515">
        <f>Aprēķini!Y$246+Aprēķini!Y$245*'Jutīguma analīze_IIA'!$B59</f>
        <v>12021.080685362904</v>
      </c>
      <c r="AA59" s="515">
        <f>Aprēķini!Z$246+Aprēķini!Z$245*'Jutīguma analīze_IIA'!$B59</f>
        <v>11690.526961304629</v>
      </c>
      <c r="AB59" s="515">
        <f>Aprēķini!AA$246+Aprēķini!AA$245*'Jutīguma analīze_IIA'!$B59</f>
        <v>12055.249341791463</v>
      </c>
      <c r="AC59" s="515">
        <f>Aprēķini!AB$246+Aprēķini!AB$245*'Jutīguma analīze_IIA'!$B59</f>
        <v>11830.462436580634</v>
      </c>
      <c r="AD59" s="515">
        <f>Aprēķini!AC$246+Aprēķini!AC$245*'Jutīguma analīze_IIA'!$B59</f>
        <v>12465.169684421277</v>
      </c>
      <c r="AE59" s="515">
        <f>Aprēķini!AD$246+Aprēķini!AD$245*'Jutīguma analīze_IIA'!$B59</f>
        <v>22962.18537459533</v>
      </c>
      <c r="AF59" s="515">
        <f>Aprēķini!AE$246+Aprēķini!AE$245*'Jutīguma analīze_IIA'!$B59</f>
        <v>22709.584061928428</v>
      </c>
      <c r="AG59" s="515">
        <f>Aprēķini!AF$246+Aprēķini!AF$245*'Jutīguma analīze_IIA'!$B59</f>
        <v>13504.057875925584</v>
      </c>
      <c r="AH59" s="515">
        <f>Aprēķini!AG$246+Aprēķini!AG$245*'Jutīguma analīze_IIA'!$B59</f>
        <v>561998.1200966558</v>
      </c>
      <c r="AI59" s="515">
        <f>Aprēķini!AH$246+Aprēķini!AH$245*'Jutīguma analīze_IIA'!$B59</f>
        <v>13214.182317385985</v>
      </c>
    </row>
    <row r="60" spans="1:35" ht="12.75" x14ac:dyDescent="0.2">
      <c r="A60" s="642"/>
      <c r="B60" s="115">
        <v>-7.4999999999999997E-2</v>
      </c>
      <c r="C60" s="515">
        <f>Aprēķini!B$246+Aprēķini!B$245*'Jutīguma analīze_IIA'!$B60</f>
        <v>-1335.7778000000001</v>
      </c>
      <c r="D60" s="515">
        <f>Aprēķini!C$246+Aprēķini!C$245*'Jutīguma analīze_IIA'!$B60</f>
        <v>-1765.9863042016357</v>
      </c>
      <c r="E60" s="515">
        <f>Aprēķini!D$246+Aprēķini!D$245*'Jutīguma analīze_IIA'!$B60</f>
        <v>1024.3484691799322</v>
      </c>
      <c r="F60" s="515">
        <f>Aprēķini!E$246+Aprēķini!E$245*'Jutīguma analīze_IIA'!$B60</f>
        <v>7442.3767343320733</v>
      </c>
      <c r="G60" s="515">
        <f>Aprēķini!F$246+Aprēķini!F$245*'Jutīguma analīze_IIA'!$B60</f>
        <v>7266.1786089065026</v>
      </c>
      <c r="H60" s="515">
        <f>Aprēķini!G$246+Aprēķini!G$245*'Jutīguma analīze_IIA'!$B60</f>
        <v>7667.1728939511131</v>
      </c>
      <c r="I60" s="515">
        <f>Aprēķini!H$246+Aprēķini!H$245*'Jutīguma analīze_IIA'!$B60</f>
        <v>7629.7599936342649</v>
      </c>
      <c r="J60" s="515">
        <f>Aprēķini!I$246+Aprēķini!I$245*'Jutīguma analīze_IIA'!$B60</f>
        <v>7264.0872659068536</v>
      </c>
      <c r="K60" s="515">
        <f>Aprēķini!J$246+Aprēķini!J$245*'Jutīguma analīze_IIA'!$B60</f>
        <v>11411.86359526663</v>
      </c>
      <c r="L60" s="515">
        <f>Aprēķini!K$246+Aprēķini!K$245*'Jutīguma analīze_IIA'!$B60</f>
        <v>11742.692472084389</v>
      </c>
      <c r="M60" s="515">
        <f>Aprēķini!L$246+Aprēķini!L$245*'Jutīguma analīze_IIA'!$B60</f>
        <v>11430.292952675498</v>
      </c>
      <c r="N60" s="515">
        <f>Aprēķini!M$246+Aprēķini!M$245*'Jutīguma analīze_IIA'!$B60</f>
        <v>11464.745805265995</v>
      </c>
      <c r="O60" s="515">
        <f>Aprēķini!N$246+Aprēķini!N$245*'Jutīguma analīze_IIA'!$B60</f>
        <v>11150.774925310803</v>
      </c>
      <c r="P60" s="515">
        <f>Aprēķini!O$246+Aprēķini!O$245*'Jutīguma analīze_IIA'!$B60</f>
        <v>6249.3587258144544</v>
      </c>
      <c r="Q60" s="515">
        <f>Aprēķini!P$246+Aprēķini!P$245*'Jutīguma analīze_IIA'!$B60</f>
        <v>6203.8757343126827</v>
      </c>
      <c r="R60" s="515">
        <f>Aprēķini!Q$246+Aprēķini!Q$245*'Jutīguma analīze_IIA'!$B60</f>
        <v>8933.211718807981</v>
      </c>
      <c r="S60" s="515">
        <f>Aprēķini!R$246+Aprēķini!R$245*'Jutīguma analīze_IIA'!$B60</f>
        <v>9299.3258380543157</v>
      </c>
      <c r="T60" s="515">
        <f>Aprēķini!S$246+Aprēķini!S$245*'Jutīguma analīze_IIA'!$B60</f>
        <v>13700.825265100695</v>
      </c>
      <c r="U60" s="515">
        <f>Aprēķini!T$246+Aprēķini!T$245*'Jutīguma analīze_IIA'!$B60</f>
        <v>9044.879006506213</v>
      </c>
      <c r="V60" s="515">
        <f>Aprēķini!U$246+Aprēķini!U$245*'Jutīguma analīze_IIA'!$B60</f>
        <v>9265.2936430049667</v>
      </c>
      <c r="W60" s="515">
        <f>Aprēķini!V$246+Aprēķini!V$245*'Jutīguma analīze_IIA'!$B60</f>
        <v>9570.6037235122112</v>
      </c>
      <c r="X60" s="515">
        <f>Aprēķini!W$246+Aprēķini!W$245*'Jutīguma analīze_IIA'!$B60</f>
        <v>9605.4159880112693</v>
      </c>
      <c r="Y60" s="515">
        <f>Aprēķini!X$246+Aprēķini!X$245*'Jutīguma analīze_IIA'!$B60</f>
        <v>12413.475867960933</v>
      </c>
      <c r="Z60" s="515">
        <f>Aprēķini!Y$246+Aprēķini!Y$245*'Jutīguma analīze_IIA'!$B60</f>
        <v>12448.288132460351</v>
      </c>
      <c r="AA60" s="515">
        <f>Aprēķini!Z$246+Aprēķini!Z$245*'Jutīguma analīze_IIA'!$B60</f>
        <v>12134.676664413666</v>
      </c>
      <c r="AB60" s="515">
        <f>Aprēķini!AA$246+Aprēķini!AA$245*'Jutīguma analīze_IIA'!$B60</f>
        <v>12516.341300912081</v>
      </c>
      <c r="AC60" s="515">
        <f>Aprēķini!AB$246+Aprēķini!AB$245*'Jutīguma analīze_IIA'!$B60</f>
        <v>12253.206180637842</v>
      </c>
      <c r="AD60" s="515">
        <f>Aprēķini!AC$246+Aprēķini!AC$245*'Jutīguma analīze_IIA'!$B60</f>
        <v>11994.565213415071</v>
      </c>
      <c r="AE60" s="515">
        <f>Aprēķini!AD$246+Aprēķini!AD$245*'Jutīguma analīze_IIA'!$B60</f>
        <v>20393.732688525713</v>
      </c>
      <c r="AF60" s="515">
        <f>Aprēķini!AE$246+Aprēķini!AE$245*'Jutīguma analīze_IIA'!$B60</f>
        <v>20052.533160795399</v>
      </c>
      <c r="AG60" s="515">
        <f>Aprēķini!AF$246+Aprēķini!AF$245*'Jutīguma analīze_IIA'!$B60</f>
        <v>10802.26412623856</v>
      </c>
      <c r="AH60" s="515">
        <f>Aprēķini!AG$246+Aprēķini!AG$245*'Jutīguma analīze_IIA'!$B60</f>
        <v>559251.58349841472</v>
      </c>
      <c r="AI60" s="515">
        <f>Aprēķini!AH$246+Aprēķini!AH$245*'Jutīguma analīze_IIA'!$B60</f>
        <v>10422.902870590968</v>
      </c>
    </row>
    <row r="61" spans="1:35" ht="12.75" x14ac:dyDescent="0.2">
      <c r="A61" s="643"/>
      <c r="B61" s="115">
        <v>-0.1</v>
      </c>
      <c r="C61" s="515">
        <f>Aprēķini!B$246+Aprēķini!B$245*'Jutīguma analīze_IIA'!$B61</f>
        <v>-1366.8424</v>
      </c>
      <c r="D61" s="515">
        <f>Aprēķini!C$246+Aprēķini!C$245*'Jutīguma analīze_IIA'!$B61</f>
        <v>-1807.0557531365573</v>
      </c>
      <c r="E61" s="515">
        <f>Aprēķini!D$246+Aprēķini!D$245*'Jutīguma analīze_IIA'!$B61</f>
        <v>967.52098102290415</v>
      </c>
      <c r="F61" s="515">
        <f>Aprēķini!E$246+Aprēķini!E$245*'Jutīguma analīze_IIA'!$B61</f>
        <v>7133.3231033311631</v>
      </c>
      <c r="G61" s="515">
        <f>Aprēķini!F$246+Aprēķini!F$245*'Jutīguma analīze_IIA'!$B61</f>
        <v>6938.6332446745237</v>
      </c>
      <c r="H61" s="515">
        <f>Aprēķini!G$246+Aprēķini!G$245*'Jutīguma analīze_IIA'!$B61</f>
        <v>7320.5514141059202</v>
      </c>
      <c r="I61" s="515">
        <f>Aprēķini!H$246+Aprēķini!H$245*'Jutīguma analīze_IIA'!$B61</f>
        <v>7282.7383743662413</v>
      </c>
      <c r="J61" s="515">
        <f>Aprēķini!I$246+Aprēķini!I$245*'Jutīguma analīze_IIA'!$B61</f>
        <v>6916.6645072159981</v>
      </c>
      <c r="K61" s="515">
        <f>Aprēķini!J$246+Aprēķini!J$245*'Jutīguma analīze_IIA'!$B61</f>
        <v>11064.068197152943</v>
      </c>
      <c r="L61" s="515">
        <f>Aprēķini!K$246+Aprēķini!K$245*'Jutīguma analīze_IIA'!$B61</f>
        <v>11394.524434547871</v>
      </c>
      <c r="M61" s="515">
        <f>Aprēķini!L$246+Aprēķini!L$245*'Jutīguma analīze_IIA'!$B61</f>
        <v>11026.461804641151</v>
      </c>
      <c r="N61" s="515">
        <f>Aprēķini!M$246+Aprēķini!M$245*'Jutīguma analīze_IIA'!$B61</f>
        <v>11005.251546733816</v>
      </c>
      <c r="O61" s="515">
        <f>Aprēķini!N$246+Aprēķini!N$245*'Jutīguma analīze_IIA'!$B61</f>
        <v>10635.617556280793</v>
      </c>
      <c r="P61" s="515">
        <f>Aprēķini!O$246+Aprēķini!O$245*'Jutīguma analīze_IIA'!$B61</f>
        <v>5733.1436127960333</v>
      </c>
      <c r="Q61" s="515">
        <f>Aprēķini!P$246+Aprēķini!P$245*'Jutīguma analīze_IIA'!$B61</f>
        <v>5686.6028773058461</v>
      </c>
      <c r="R61" s="515">
        <f>Aprēķini!Q$246+Aprēķini!Q$245*'Jutīguma analīze_IIA'!$B61</f>
        <v>8414.8811178127326</v>
      </c>
      <c r="S61" s="515">
        <f>Aprēķini!R$246+Aprēķini!R$245*'Jutīguma analīze_IIA'!$B61</f>
        <v>9435.4374930706545</v>
      </c>
      <c r="T61" s="515">
        <f>Aprēķini!S$246+Aprēķini!S$245*'Jutīguma analīze_IIA'!$B61</f>
        <v>13850.129176128621</v>
      </c>
      <c r="U61" s="515">
        <f>Aprēķini!T$246+Aprēķini!T$245*'Jutīguma analīze_IIA'!$B61</f>
        <v>9207.3751735457245</v>
      </c>
      <c r="V61" s="515">
        <f>Aprēķini!U$246+Aprēķini!U$245*'Jutīguma analīze_IIA'!$B61</f>
        <v>9440.9820660560672</v>
      </c>
      <c r="W61" s="515">
        <f>Aprēķini!V$246+Aprēķini!V$245*'Jutīguma analīze_IIA'!$B61</f>
        <v>9946.9844025748971</v>
      </c>
      <c r="X61" s="515">
        <f>Aprēķini!W$246+Aprēķini!W$245*'Jutīguma analīze_IIA'!$B61</f>
        <v>9998.7389230855442</v>
      </c>
      <c r="Y61" s="515">
        <f>Aprēķini!X$246+Aprēķini!X$245*'Jutīguma analīze_IIA'!$B61</f>
        <v>12823.74105904679</v>
      </c>
      <c r="Z61" s="515">
        <f>Aprēķini!Y$246+Aprēķini!Y$245*'Jutīguma analīze_IIA'!$B61</f>
        <v>12875.495579557799</v>
      </c>
      <c r="AA61" s="515">
        <f>Aprēķini!Z$246+Aprēķini!Z$245*'Jutīguma analīze_IIA'!$B61</f>
        <v>12578.826367522701</v>
      </c>
      <c r="AB61" s="515">
        <f>Aprēķini!AA$246+Aprēķini!AA$245*'Jutīguma analīze_IIA'!$B61</f>
        <v>12977.433260032702</v>
      </c>
      <c r="AC61" s="515">
        <f>Aprēķini!AB$246+Aprēķini!AB$245*'Jutīguma analīze_IIA'!$B61</f>
        <v>12675.949924695049</v>
      </c>
      <c r="AD61" s="515">
        <f>Aprēķini!AC$246+Aprēķini!AC$245*'Jutīguma analīze_IIA'!$B61</f>
        <v>11523.960742408868</v>
      </c>
      <c r="AE61" s="515">
        <f>Aprēķini!AD$246+Aprēķini!AD$245*'Jutīguma analīze_IIA'!$B61</f>
        <v>17825.280002456093</v>
      </c>
      <c r="AF61" s="515">
        <f>Aprēķini!AE$246+Aprēķini!AE$245*'Jutīguma analīze_IIA'!$B61</f>
        <v>17395.482259662371</v>
      </c>
      <c r="AG61" s="515">
        <f>Aprēķini!AF$246+Aprēķini!AF$245*'Jutīguma analīze_IIA'!$B61</f>
        <v>8100.4703765515369</v>
      </c>
      <c r="AH61" s="515">
        <f>Aprēķini!AG$246+Aprēķini!AG$245*'Jutīguma analīze_IIA'!$B61</f>
        <v>556505.04690017377</v>
      </c>
      <c r="AI61" s="515">
        <f>Aprēķini!AH$246+Aprēķini!AH$245*'Jutīguma analīze_IIA'!$B61</f>
        <v>7631.6234237959507</v>
      </c>
    </row>
    <row r="62" spans="1:35" ht="12.75" x14ac:dyDescent="0.2">
      <c r="A62" s="504"/>
      <c r="B62" s="504"/>
      <c r="C62" s="504"/>
    </row>
    <row r="63" spans="1:35" ht="25.5" x14ac:dyDescent="0.2">
      <c r="A63" s="513"/>
      <c r="B63" s="514" t="s">
        <v>184</v>
      </c>
      <c r="C63" s="514">
        <f t="shared" ref="C63:AI63" si="1">C38</f>
        <v>2017</v>
      </c>
      <c r="D63" s="514">
        <f t="shared" si="1"/>
        <v>2018</v>
      </c>
      <c r="E63" s="514">
        <f t="shared" si="1"/>
        <v>2019</v>
      </c>
      <c r="F63" s="514">
        <f t="shared" si="1"/>
        <v>2020</v>
      </c>
      <c r="G63" s="514">
        <f t="shared" si="1"/>
        <v>2021</v>
      </c>
      <c r="H63" s="514">
        <f t="shared" si="1"/>
        <v>2022</v>
      </c>
      <c r="I63" s="514">
        <f t="shared" si="1"/>
        <v>2023</v>
      </c>
      <c r="J63" s="514">
        <f t="shared" si="1"/>
        <v>2024</v>
      </c>
      <c r="K63" s="514">
        <f t="shared" si="1"/>
        <v>2025</v>
      </c>
      <c r="L63" s="514">
        <f t="shared" si="1"/>
        <v>2026</v>
      </c>
      <c r="M63" s="514">
        <f t="shared" si="1"/>
        <v>2027</v>
      </c>
      <c r="N63" s="514">
        <f t="shared" si="1"/>
        <v>2028</v>
      </c>
      <c r="O63" s="514">
        <f t="shared" si="1"/>
        <v>2029</v>
      </c>
      <c r="P63" s="514">
        <f t="shared" si="1"/>
        <v>2030</v>
      </c>
      <c r="Q63" s="514">
        <f t="shared" si="1"/>
        <v>2031</v>
      </c>
      <c r="R63" s="514">
        <f t="shared" si="1"/>
        <v>2032</v>
      </c>
      <c r="S63" s="514">
        <f t="shared" si="1"/>
        <v>2033</v>
      </c>
      <c r="T63" s="514">
        <f t="shared" si="1"/>
        <v>2034</v>
      </c>
      <c r="U63" s="514">
        <f t="shared" si="1"/>
        <v>2035</v>
      </c>
      <c r="V63" s="514">
        <f t="shared" si="1"/>
        <v>2036</v>
      </c>
      <c r="W63" s="514">
        <f t="shared" si="1"/>
        <v>2037</v>
      </c>
      <c r="X63" s="514">
        <f t="shared" si="1"/>
        <v>2038</v>
      </c>
      <c r="Y63" s="514">
        <f t="shared" si="1"/>
        <v>2039</v>
      </c>
      <c r="Z63" s="514">
        <f t="shared" si="1"/>
        <v>2040</v>
      </c>
      <c r="AA63" s="514">
        <f t="shared" si="1"/>
        <v>2041</v>
      </c>
      <c r="AB63" s="514">
        <f t="shared" si="1"/>
        <v>2042</v>
      </c>
      <c r="AC63" s="514">
        <f t="shared" si="1"/>
        <v>2043</v>
      </c>
      <c r="AD63" s="514">
        <f t="shared" si="1"/>
        <v>2044</v>
      </c>
      <c r="AE63" s="514">
        <f t="shared" si="1"/>
        <v>2045</v>
      </c>
      <c r="AF63" s="514">
        <f t="shared" si="1"/>
        <v>2046</v>
      </c>
      <c r="AG63" s="514">
        <f t="shared" si="1"/>
        <v>2047</v>
      </c>
      <c r="AH63" s="514">
        <f t="shared" si="1"/>
        <v>2048</v>
      </c>
      <c r="AI63" s="514">
        <f t="shared" si="1"/>
        <v>2049</v>
      </c>
    </row>
    <row r="64" spans="1:35" ht="12.75" x14ac:dyDescent="0.2">
      <c r="A64" s="792" t="s">
        <v>145</v>
      </c>
      <c r="B64" s="777"/>
      <c r="C64" s="777"/>
      <c r="D64" s="777"/>
      <c r="E64" s="777"/>
      <c r="F64" s="777"/>
      <c r="G64" s="777"/>
      <c r="H64" s="777"/>
      <c r="I64" s="777"/>
      <c r="J64" s="777"/>
      <c r="K64" s="777"/>
      <c r="L64" s="777"/>
      <c r="M64" s="777"/>
      <c r="N64" s="777"/>
      <c r="O64" s="777"/>
      <c r="P64" s="777"/>
      <c r="Q64" s="777"/>
      <c r="R64" s="777"/>
      <c r="S64" s="777"/>
      <c r="T64" s="777"/>
      <c r="U64" s="777"/>
      <c r="V64" s="777"/>
      <c r="W64" s="777"/>
      <c r="X64" s="777"/>
      <c r="Y64" s="777"/>
      <c r="Z64" s="777"/>
      <c r="AA64" s="777"/>
      <c r="AB64" s="777"/>
      <c r="AC64" s="777"/>
      <c r="AD64" s="777"/>
      <c r="AE64" s="777"/>
      <c r="AF64" s="777"/>
      <c r="AG64" s="777"/>
      <c r="AH64" s="777"/>
      <c r="AI64" s="777"/>
    </row>
    <row r="65" spans="1:35" ht="12.75" x14ac:dyDescent="0.2">
      <c r="A65" s="113" t="s">
        <v>185</v>
      </c>
      <c r="B65" s="115">
        <v>0.1</v>
      </c>
      <c r="C65" s="515">
        <f>Aprēķini!B$194+Aprēķini!B$192*'Jutīguma analīze_IIA'!$B65</f>
        <v>-532632.42000000004</v>
      </c>
      <c r="D65" s="515">
        <f>Aprēķini!C$194+Aprēķini!C$192*'Jutīguma analīze_IIA'!$B65</f>
        <v>-315688.61695739685</v>
      </c>
      <c r="E65" s="515">
        <f>Aprēķini!D$194+Aprēķini!D$192*'Jutīguma analīze_IIA'!$B65</f>
        <v>-468223.67406634899</v>
      </c>
      <c r="F65" s="515">
        <f>Aprēķini!E$194+Aprēķini!E$192*'Jutīguma analīze_IIA'!$B65</f>
        <v>19247.173944001472</v>
      </c>
      <c r="G65" s="515">
        <f>Aprēķini!F$194+Aprēķini!F$192*'Jutīguma analīze_IIA'!$B65</f>
        <v>19086.548229935772</v>
      </c>
      <c r="H65" s="515">
        <f>Aprēķini!G$194+Aprēķini!G$192*'Jutīguma analīze_IIA'!$B65</f>
        <v>19504.868073486694</v>
      </c>
      <c r="I65" s="515">
        <f>Aprēķini!H$194+Aprēķini!H$192*'Jutīguma analīze_IIA'!$B65</f>
        <v>19428.752803105002</v>
      </c>
      <c r="J65" s="515">
        <f>Aprēķini!I$194+Aprēķini!I$192*'Jutīguma analīze_IIA'!$B65</f>
        <v>19024.380705312749</v>
      </c>
      <c r="K65" s="515">
        <f>Aprēķini!J$194+Aprēķini!J$192*'Jutīguma analīze_IIA'!$B65</f>
        <v>23133.372164607688</v>
      </c>
      <c r="L65" s="515">
        <f>Aprēķini!K$194+Aprēķini!K$192*'Jutīguma analīze_IIA'!$B65</f>
        <v>23425.416171360608</v>
      </c>
      <c r="M65" s="515">
        <f>Aprēķini!L$194+Aprēķini!L$192*'Jutīguma analīze_IIA'!$B65</f>
        <v>23240.103195111871</v>
      </c>
      <c r="N65" s="515">
        <f>Aprēķini!M$194+Aprēķini!M$192*'Jutīguma analīze_IIA'!$B65</f>
        <v>23401.642590862532</v>
      </c>
      <c r="O65" s="515">
        <f>Aprēķini!N$194+Aprēķini!N$192*'Jutīguma analīze_IIA'!$B65</f>
        <v>23214.758254067499</v>
      </c>
      <c r="P65" s="515">
        <f>Aprēķini!O$194+Aprēķini!O$192*'Jutīguma analīze_IIA'!$B65</f>
        <v>18276.612498203049</v>
      </c>
      <c r="Q65" s="515">
        <f>Aprēķini!P$194+Aprēķini!P$192*'Jutīguma analīze_IIA'!$B65</f>
        <v>18194.399950333191</v>
      </c>
      <c r="R65" s="515">
        <f>Aprēķini!Q$194+Aprēķini!Q$192*'Jutīguma analīze_IIA'!$B65</f>
        <v>20887.006378460395</v>
      </c>
      <c r="S65" s="515">
        <f>Aprēķini!R$194+Aprēķini!R$192*'Jutīguma analīze_IIA'!$B65</f>
        <v>19249.890941338632</v>
      </c>
      <c r="T65" s="515">
        <f>Aprēķini!S$194+Aprēķini!S$192*'Jutīguma analīze_IIA'!$B65</f>
        <v>23571.910812016918</v>
      </c>
      <c r="U65" s="515">
        <f>Aprēķini!T$194+Aprēķini!T$192*'Jutīguma analīze_IIA'!$B65</f>
        <v>18836.484997054347</v>
      </c>
      <c r="V65" s="515">
        <f>Aprēķini!U$194+Aprēķini!U$192*'Jutīguma analīze_IIA'!$B65</f>
        <v>18977.420077184997</v>
      </c>
      <c r="W65" s="515">
        <f>Aprēķini!V$194+Aprēķini!V$192*'Jutīguma analīze_IIA'!$B65</f>
        <v>18640.750601324151</v>
      </c>
      <c r="X65" s="515">
        <f>Aprēķini!W$194+Aprēķini!W$192*'Jutīguma analīze_IIA'!$B65</f>
        <v>18584.833309455113</v>
      </c>
      <c r="Y65" s="515">
        <f>Aprēķini!X$194+Aprēķini!X$192*'Jutīguma analīze_IIA'!$B65</f>
        <v>21302.163633036693</v>
      </c>
      <c r="Z65" s="515">
        <f>Aprēķini!Y$194+Aprēķini!Y$192*'Jutīguma analīze_IIA'!$B65</f>
        <v>21246.246341168007</v>
      </c>
      <c r="AA65" s="515">
        <f>Aprēķini!Z$194+Aprēķini!Z$192*'Jutīguma analīze_IIA'!$B65</f>
        <v>20841.905316753226</v>
      </c>
      <c r="AB65" s="515">
        <f>Aprēķini!AA$194+Aprēķini!AA$192*'Jutīguma analīze_IIA'!$B65</f>
        <v>21132.840396883556</v>
      </c>
      <c r="AC65" s="515">
        <f>Aprēķini!AB$194+Aprēķini!AB$192*'Jutīguma analīze_IIA'!$B65</f>
        <v>20944.847133466217</v>
      </c>
      <c r="AD65" s="515">
        <f>Aprēķini!AC$194+Aprēķini!AC$192*'Jutīguma analīze_IIA'!$B65</f>
        <v>23326.348023100349</v>
      </c>
      <c r="AE65" s="515">
        <f>Aprēķini!AD$194+Aprēķini!AD$192*'Jutīguma analīze_IIA'!$B65</f>
        <v>37979.157355067888</v>
      </c>
      <c r="AF65" s="515">
        <f>Aprēķini!AE$194+Aprēķini!AE$192*'Jutīguma analīze_IIA'!$B65</f>
        <v>37863.849684194473</v>
      </c>
      <c r="AG65" s="515">
        <f>Aprēķini!AF$194+Aprēķini!AF$192*'Jutīguma analīze_IIA'!$B65</f>
        <v>28707.906406966285</v>
      </c>
      <c r="AH65" s="515">
        <f>Aprēķini!AG$194+Aprēķini!AG$192*'Jutīguma analīze_IIA'!$B65</f>
        <v>577251.55153647112</v>
      </c>
      <c r="AI65" s="515">
        <f>Aprēķini!AH$194+Aprēķini!AH$192*'Jutīguma analīze_IIA'!$B65</f>
        <v>28517.196665976007</v>
      </c>
    </row>
    <row r="66" spans="1:35" ht="12.75" x14ac:dyDescent="0.2">
      <c r="A66" s="638"/>
      <c r="B66" s="115">
        <v>7.4999999999999997E-2</v>
      </c>
      <c r="C66" s="515">
        <f>Aprēķini!B$194+Aprēķini!B$192*'Jutīguma analīze_IIA'!$B66</f>
        <v>-547427.76500000001</v>
      </c>
      <c r="D66" s="515">
        <f>Aprēķini!C$194+Aprēķini!C$192*'Jutīguma analīze_IIA'!$B66</f>
        <v>-324446.62870739686</v>
      </c>
      <c r="E66" s="515">
        <f>Aprēķini!D$194+Aprēķini!D$192*'Jutīguma analīze_IIA'!$B66</f>
        <v>-481310.29906634899</v>
      </c>
      <c r="F66" s="515">
        <f>Aprēķini!E$194+Aprēķini!E$192*'Jutīguma analīze_IIA'!$B66</f>
        <v>19247.173944001472</v>
      </c>
      <c r="G66" s="515">
        <f>Aprēķini!F$194+Aprēķini!F$192*'Jutīguma analīze_IIA'!$B66</f>
        <v>19086.548229935772</v>
      </c>
      <c r="H66" s="515">
        <f>Aprēķini!G$194+Aprēķini!G$192*'Jutīguma analīze_IIA'!$B66</f>
        <v>19504.868073486694</v>
      </c>
      <c r="I66" s="515">
        <f>Aprēķini!H$194+Aprēķini!H$192*'Jutīguma analīze_IIA'!$B66</f>
        <v>19428.752803105002</v>
      </c>
      <c r="J66" s="515">
        <f>Aprēķini!I$194+Aprēķini!I$192*'Jutīguma analīze_IIA'!$B66</f>
        <v>19024.380705312749</v>
      </c>
      <c r="K66" s="515">
        <f>Aprēķini!J$194+Aprēķini!J$192*'Jutīguma analīze_IIA'!$B66</f>
        <v>23133.372164607688</v>
      </c>
      <c r="L66" s="515">
        <f>Aprēķini!K$194+Aprēķini!K$192*'Jutīguma analīze_IIA'!$B66</f>
        <v>23425.416171360608</v>
      </c>
      <c r="M66" s="515">
        <f>Aprēķini!L$194+Aprēķini!L$192*'Jutīguma analīze_IIA'!$B66</f>
        <v>23240.103195111871</v>
      </c>
      <c r="N66" s="515">
        <f>Aprēķini!M$194+Aprēķini!M$192*'Jutīguma analīze_IIA'!$B66</f>
        <v>23401.642590862532</v>
      </c>
      <c r="O66" s="515">
        <f>Aprēķini!N$194+Aprēķini!N$192*'Jutīguma analīze_IIA'!$B66</f>
        <v>23214.758254067499</v>
      </c>
      <c r="P66" s="515">
        <f>Aprēķini!O$194+Aprēķini!O$192*'Jutīguma analīze_IIA'!$B66</f>
        <v>18276.612498203049</v>
      </c>
      <c r="Q66" s="515">
        <f>Aprēķini!P$194+Aprēķini!P$192*'Jutīguma analīze_IIA'!$B66</f>
        <v>18194.399950333191</v>
      </c>
      <c r="R66" s="515">
        <f>Aprēķini!Q$194+Aprēķini!Q$192*'Jutīguma analīze_IIA'!$B66</f>
        <v>20887.006378460395</v>
      </c>
      <c r="S66" s="515">
        <f>Aprēķini!R$194+Aprēķini!R$192*'Jutīguma analīze_IIA'!$B66</f>
        <v>19249.890941338632</v>
      </c>
      <c r="T66" s="515">
        <f>Aprēķini!S$194+Aprēķini!S$192*'Jutīguma analīze_IIA'!$B66</f>
        <v>23571.910812016918</v>
      </c>
      <c r="U66" s="515">
        <f>Aprēķini!T$194+Aprēķini!T$192*'Jutīguma analīze_IIA'!$B66</f>
        <v>18836.484997054347</v>
      </c>
      <c r="V66" s="515">
        <f>Aprēķini!U$194+Aprēķini!U$192*'Jutīguma analīze_IIA'!$B66</f>
        <v>18977.420077184997</v>
      </c>
      <c r="W66" s="515">
        <f>Aprēķini!V$194+Aprēķini!V$192*'Jutīguma analīze_IIA'!$B66</f>
        <v>18640.750601324151</v>
      </c>
      <c r="X66" s="515">
        <f>Aprēķini!W$194+Aprēķini!W$192*'Jutīguma analīze_IIA'!$B66</f>
        <v>18584.833309455113</v>
      </c>
      <c r="Y66" s="515">
        <f>Aprēķini!X$194+Aprēķini!X$192*'Jutīguma analīze_IIA'!$B66</f>
        <v>21302.163633036693</v>
      </c>
      <c r="Z66" s="515">
        <f>Aprēķini!Y$194+Aprēķini!Y$192*'Jutīguma analīze_IIA'!$B66</f>
        <v>21246.246341168007</v>
      </c>
      <c r="AA66" s="515">
        <f>Aprēķini!Z$194+Aprēķini!Z$192*'Jutīguma analīze_IIA'!$B66</f>
        <v>20841.905316753226</v>
      </c>
      <c r="AB66" s="515">
        <f>Aprēķini!AA$194+Aprēķini!AA$192*'Jutīguma analīze_IIA'!$B66</f>
        <v>21132.840396883556</v>
      </c>
      <c r="AC66" s="515">
        <f>Aprēķini!AB$194+Aprēķini!AB$192*'Jutīguma analīze_IIA'!$B66</f>
        <v>20944.847133466217</v>
      </c>
      <c r="AD66" s="515">
        <f>Aprēķini!AC$194+Aprēķini!AC$192*'Jutīguma analīze_IIA'!$B66</f>
        <v>23326.348023100349</v>
      </c>
      <c r="AE66" s="515">
        <f>Aprēķini!AD$194+Aprēķini!AD$192*'Jutīguma analīze_IIA'!$B66</f>
        <v>37979.157355067888</v>
      </c>
      <c r="AF66" s="515">
        <f>Aprēķini!AE$194+Aprēķini!AE$192*'Jutīguma analīze_IIA'!$B66</f>
        <v>37863.849684194473</v>
      </c>
      <c r="AG66" s="515">
        <f>Aprēķini!AF$194+Aprēķini!AF$192*'Jutīguma analīze_IIA'!$B66</f>
        <v>28707.906406966285</v>
      </c>
      <c r="AH66" s="515">
        <f>Aprēķini!AG$194+Aprēķini!AG$192*'Jutīguma analīze_IIA'!$B66</f>
        <v>577251.55153647112</v>
      </c>
      <c r="AI66" s="515">
        <f>Aprēķini!AH$194+Aprēķini!AH$192*'Jutīguma analīze_IIA'!$B66</f>
        <v>28517.196665976007</v>
      </c>
    </row>
    <row r="67" spans="1:35" ht="12.75" x14ac:dyDescent="0.2">
      <c r="A67" s="639"/>
      <c r="B67" s="115">
        <v>0.05</v>
      </c>
      <c r="C67" s="515">
        <f>Aprēķini!B$194+Aprēķini!B$192*'Jutīguma analīze_IIA'!$B67</f>
        <v>-562223.1100000001</v>
      </c>
      <c r="D67" s="515">
        <f>Aprēķini!C$194+Aprēķini!C$192*'Jutīguma analīze_IIA'!$B67</f>
        <v>-333204.64045739686</v>
      </c>
      <c r="E67" s="515">
        <f>Aprēķini!D$194+Aprēķini!D$192*'Jutīguma analīze_IIA'!$B67</f>
        <v>-494396.92406634899</v>
      </c>
      <c r="F67" s="515">
        <f>Aprēķini!E$194+Aprēķini!E$192*'Jutīguma analīze_IIA'!$B67</f>
        <v>19247.173944001472</v>
      </c>
      <c r="G67" s="515">
        <f>Aprēķini!F$194+Aprēķini!F$192*'Jutīguma analīze_IIA'!$B67</f>
        <v>19086.548229935772</v>
      </c>
      <c r="H67" s="515">
        <f>Aprēķini!G$194+Aprēķini!G$192*'Jutīguma analīze_IIA'!$B67</f>
        <v>19504.868073486694</v>
      </c>
      <c r="I67" s="515">
        <f>Aprēķini!H$194+Aprēķini!H$192*'Jutīguma analīze_IIA'!$B67</f>
        <v>19428.752803105002</v>
      </c>
      <c r="J67" s="515">
        <f>Aprēķini!I$194+Aprēķini!I$192*'Jutīguma analīze_IIA'!$B67</f>
        <v>19024.380705312749</v>
      </c>
      <c r="K67" s="515">
        <f>Aprēķini!J$194+Aprēķini!J$192*'Jutīguma analīze_IIA'!$B67</f>
        <v>23133.372164607688</v>
      </c>
      <c r="L67" s="515">
        <f>Aprēķini!K$194+Aprēķini!K$192*'Jutīguma analīze_IIA'!$B67</f>
        <v>23425.416171360608</v>
      </c>
      <c r="M67" s="515">
        <f>Aprēķini!L$194+Aprēķini!L$192*'Jutīguma analīze_IIA'!$B67</f>
        <v>23240.103195111871</v>
      </c>
      <c r="N67" s="515">
        <f>Aprēķini!M$194+Aprēķini!M$192*'Jutīguma analīze_IIA'!$B67</f>
        <v>23401.642590862532</v>
      </c>
      <c r="O67" s="515">
        <f>Aprēķini!N$194+Aprēķini!N$192*'Jutīguma analīze_IIA'!$B67</f>
        <v>23214.758254067499</v>
      </c>
      <c r="P67" s="515">
        <f>Aprēķini!O$194+Aprēķini!O$192*'Jutīguma analīze_IIA'!$B67</f>
        <v>18276.612498203049</v>
      </c>
      <c r="Q67" s="515">
        <f>Aprēķini!P$194+Aprēķini!P$192*'Jutīguma analīze_IIA'!$B67</f>
        <v>18194.399950333191</v>
      </c>
      <c r="R67" s="515">
        <f>Aprēķini!Q$194+Aprēķini!Q$192*'Jutīguma analīze_IIA'!$B67</f>
        <v>20887.006378460395</v>
      </c>
      <c r="S67" s="515">
        <f>Aprēķini!R$194+Aprēķini!R$192*'Jutīguma analīze_IIA'!$B67</f>
        <v>19249.890941338632</v>
      </c>
      <c r="T67" s="515">
        <f>Aprēķini!S$194+Aprēķini!S$192*'Jutīguma analīze_IIA'!$B67</f>
        <v>23571.910812016918</v>
      </c>
      <c r="U67" s="515">
        <f>Aprēķini!T$194+Aprēķini!T$192*'Jutīguma analīze_IIA'!$B67</f>
        <v>18836.484997054347</v>
      </c>
      <c r="V67" s="515">
        <f>Aprēķini!U$194+Aprēķini!U$192*'Jutīguma analīze_IIA'!$B67</f>
        <v>18977.420077184997</v>
      </c>
      <c r="W67" s="515">
        <f>Aprēķini!V$194+Aprēķini!V$192*'Jutīguma analīze_IIA'!$B67</f>
        <v>18640.750601324151</v>
      </c>
      <c r="X67" s="515">
        <f>Aprēķini!W$194+Aprēķini!W$192*'Jutīguma analīze_IIA'!$B67</f>
        <v>18584.833309455113</v>
      </c>
      <c r="Y67" s="515">
        <f>Aprēķini!X$194+Aprēķini!X$192*'Jutīguma analīze_IIA'!$B67</f>
        <v>21302.163633036693</v>
      </c>
      <c r="Z67" s="515">
        <f>Aprēķini!Y$194+Aprēķini!Y$192*'Jutīguma analīze_IIA'!$B67</f>
        <v>21246.246341168007</v>
      </c>
      <c r="AA67" s="515">
        <f>Aprēķini!Z$194+Aprēķini!Z$192*'Jutīguma analīze_IIA'!$B67</f>
        <v>20841.905316753226</v>
      </c>
      <c r="AB67" s="515">
        <f>Aprēķini!AA$194+Aprēķini!AA$192*'Jutīguma analīze_IIA'!$B67</f>
        <v>21132.840396883556</v>
      </c>
      <c r="AC67" s="515">
        <f>Aprēķini!AB$194+Aprēķini!AB$192*'Jutīguma analīze_IIA'!$B67</f>
        <v>20944.847133466217</v>
      </c>
      <c r="AD67" s="515">
        <f>Aprēķini!AC$194+Aprēķini!AC$192*'Jutīguma analīze_IIA'!$B67</f>
        <v>23326.348023100349</v>
      </c>
      <c r="AE67" s="515">
        <f>Aprēķini!AD$194+Aprēķini!AD$192*'Jutīguma analīze_IIA'!$B67</f>
        <v>37979.157355067888</v>
      </c>
      <c r="AF67" s="515">
        <f>Aprēķini!AE$194+Aprēķini!AE$192*'Jutīguma analīze_IIA'!$B67</f>
        <v>37863.849684194473</v>
      </c>
      <c r="AG67" s="515">
        <f>Aprēķini!AF$194+Aprēķini!AF$192*'Jutīguma analīze_IIA'!$B67</f>
        <v>28707.906406966285</v>
      </c>
      <c r="AH67" s="515">
        <f>Aprēķini!AG$194+Aprēķini!AG$192*'Jutīguma analīze_IIA'!$B67</f>
        <v>577251.55153647112</v>
      </c>
      <c r="AI67" s="515">
        <f>Aprēķini!AH$194+Aprēķini!AH$192*'Jutīguma analīze_IIA'!$B67</f>
        <v>28517.196665976007</v>
      </c>
    </row>
    <row r="68" spans="1:35" ht="12.75" x14ac:dyDescent="0.2">
      <c r="A68" s="639"/>
      <c r="B68" s="115">
        <v>2.5000000000000001E-2</v>
      </c>
      <c r="C68" s="515">
        <f>Aprēķini!B$194+Aprēķini!B$192*'Jutīguma analīze_IIA'!$B68</f>
        <v>-577018.45500000007</v>
      </c>
      <c r="D68" s="515">
        <f>Aprēķini!C$194+Aprēķini!C$192*'Jutīguma analīze_IIA'!$B68</f>
        <v>-341962.65220739687</v>
      </c>
      <c r="E68" s="515">
        <f>Aprēķini!D$194+Aprēķini!D$192*'Jutīguma analīze_IIA'!$B68</f>
        <v>-507483.54906634899</v>
      </c>
      <c r="F68" s="515">
        <f>Aprēķini!E$194+Aprēķini!E$192*'Jutīguma analīze_IIA'!$B68</f>
        <v>19247.173944001472</v>
      </c>
      <c r="G68" s="515">
        <f>Aprēķini!F$194+Aprēķini!F$192*'Jutīguma analīze_IIA'!$B68</f>
        <v>19086.548229935772</v>
      </c>
      <c r="H68" s="515">
        <f>Aprēķini!G$194+Aprēķini!G$192*'Jutīguma analīze_IIA'!$B68</f>
        <v>19504.868073486694</v>
      </c>
      <c r="I68" s="515">
        <f>Aprēķini!H$194+Aprēķini!H$192*'Jutīguma analīze_IIA'!$B68</f>
        <v>19428.752803105002</v>
      </c>
      <c r="J68" s="515">
        <f>Aprēķini!I$194+Aprēķini!I$192*'Jutīguma analīze_IIA'!$B68</f>
        <v>19024.380705312749</v>
      </c>
      <c r="K68" s="515">
        <f>Aprēķini!J$194+Aprēķini!J$192*'Jutīguma analīze_IIA'!$B68</f>
        <v>23133.372164607688</v>
      </c>
      <c r="L68" s="515">
        <f>Aprēķini!K$194+Aprēķini!K$192*'Jutīguma analīze_IIA'!$B68</f>
        <v>23425.416171360608</v>
      </c>
      <c r="M68" s="515">
        <f>Aprēķini!L$194+Aprēķini!L$192*'Jutīguma analīze_IIA'!$B68</f>
        <v>23240.103195111871</v>
      </c>
      <c r="N68" s="515">
        <f>Aprēķini!M$194+Aprēķini!M$192*'Jutīguma analīze_IIA'!$B68</f>
        <v>23401.642590862532</v>
      </c>
      <c r="O68" s="515">
        <f>Aprēķini!N$194+Aprēķini!N$192*'Jutīguma analīze_IIA'!$B68</f>
        <v>23214.758254067499</v>
      </c>
      <c r="P68" s="515">
        <f>Aprēķini!O$194+Aprēķini!O$192*'Jutīguma analīze_IIA'!$B68</f>
        <v>18276.612498203049</v>
      </c>
      <c r="Q68" s="515">
        <f>Aprēķini!P$194+Aprēķini!P$192*'Jutīguma analīze_IIA'!$B68</f>
        <v>18194.399950333191</v>
      </c>
      <c r="R68" s="515">
        <f>Aprēķini!Q$194+Aprēķini!Q$192*'Jutīguma analīze_IIA'!$B68</f>
        <v>20887.006378460395</v>
      </c>
      <c r="S68" s="515">
        <f>Aprēķini!R$194+Aprēķini!R$192*'Jutīguma analīze_IIA'!$B68</f>
        <v>19249.890941338632</v>
      </c>
      <c r="T68" s="515">
        <f>Aprēķini!S$194+Aprēķini!S$192*'Jutīguma analīze_IIA'!$B68</f>
        <v>23571.910812016918</v>
      </c>
      <c r="U68" s="515">
        <f>Aprēķini!T$194+Aprēķini!T$192*'Jutīguma analīze_IIA'!$B68</f>
        <v>18836.484997054347</v>
      </c>
      <c r="V68" s="515">
        <f>Aprēķini!U$194+Aprēķini!U$192*'Jutīguma analīze_IIA'!$B68</f>
        <v>18977.420077184997</v>
      </c>
      <c r="W68" s="515">
        <f>Aprēķini!V$194+Aprēķini!V$192*'Jutīguma analīze_IIA'!$B68</f>
        <v>18640.750601324151</v>
      </c>
      <c r="X68" s="515">
        <f>Aprēķini!W$194+Aprēķini!W$192*'Jutīguma analīze_IIA'!$B68</f>
        <v>18584.833309455113</v>
      </c>
      <c r="Y68" s="515">
        <f>Aprēķini!X$194+Aprēķini!X$192*'Jutīguma analīze_IIA'!$B68</f>
        <v>21302.163633036693</v>
      </c>
      <c r="Z68" s="515">
        <f>Aprēķini!Y$194+Aprēķini!Y$192*'Jutīguma analīze_IIA'!$B68</f>
        <v>21246.246341168007</v>
      </c>
      <c r="AA68" s="515">
        <f>Aprēķini!Z$194+Aprēķini!Z$192*'Jutīguma analīze_IIA'!$B68</f>
        <v>20841.905316753226</v>
      </c>
      <c r="AB68" s="515">
        <f>Aprēķini!AA$194+Aprēķini!AA$192*'Jutīguma analīze_IIA'!$B68</f>
        <v>21132.840396883556</v>
      </c>
      <c r="AC68" s="515">
        <f>Aprēķini!AB$194+Aprēķini!AB$192*'Jutīguma analīze_IIA'!$B68</f>
        <v>20944.847133466217</v>
      </c>
      <c r="AD68" s="515">
        <f>Aprēķini!AC$194+Aprēķini!AC$192*'Jutīguma analīze_IIA'!$B68</f>
        <v>23326.348023100349</v>
      </c>
      <c r="AE68" s="515">
        <f>Aprēķini!AD$194+Aprēķini!AD$192*'Jutīguma analīze_IIA'!$B68</f>
        <v>37979.157355067888</v>
      </c>
      <c r="AF68" s="515">
        <f>Aprēķini!AE$194+Aprēķini!AE$192*'Jutīguma analīze_IIA'!$B68</f>
        <v>37863.849684194473</v>
      </c>
      <c r="AG68" s="515">
        <f>Aprēķini!AF$194+Aprēķini!AF$192*'Jutīguma analīze_IIA'!$B68</f>
        <v>28707.906406966285</v>
      </c>
      <c r="AH68" s="515">
        <f>Aprēķini!AG$194+Aprēķini!AG$192*'Jutīguma analīze_IIA'!$B68</f>
        <v>577251.55153647112</v>
      </c>
      <c r="AI68" s="515">
        <f>Aprēķini!AH$194+Aprēķini!AH$192*'Jutīguma analīze_IIA'!$B68</f>
        <v>28517.196665976007</v>
      </c>
    </row>
    <row r="69" spans="1:35" ht="12.75" x14ac:dyDescent="0.2">
      <c r="A69" s="639"/>
      <c r="B69" s="115">
        <v>0.01</v>
      </c>
      <c r="C69" s="515">
        <f>Aprēķini!B$194+Aprēķini!B$192*'Jutīguma analīze_IIA'!$B69</f>
        <v>-585895.66200000001</v>
      </c>
      <c r="D69" s="515">
        <f>Aprēķini!C$194+Aprēķini!C$192*'Jutīguma analīze_IIA'!$B69</f>
        <v>-347217.45925739687</v>
      </c>
      <c r="E69" s="515">
        <f>Aprēķini!D$194+Aprēķini!D$192*'Jutīguma analīze_IIA'!$B69</f>
        <v>-515335.52406634897</v>
      </c>
      <c r="F69" s="515">
        <f>Aprēķini!E$194+Aprēķini!E$192*'Jutīguma analīze_IIA'!$B69</f>
        <v>19247.173944001472</v>
      </c>
      <c r="G69" s="515">
        <f>Aprēķini!F$194+Aprēķini!F$192*'Jutīguma analīze_IIA'!$B69</f>
        <v>19086.548229935772</v>
      </c>
      <c r="H69" s="515">
        <f>Aprēķini!G$194+Aprēķini!G$192*'Jutīguma analīze_IIA'!$B69</f>
        <v>19504.868073486694</v>
      </c>
      <c r="I69" s="515">
        <f>Aprēķini!H$194+Aprēķini!H$192*'Jutīguma analīze_IIA'!$B69</f>
        <v>19428.752803105002</v>
      </c>
      <c r="J69" s="515">
        <f>Aprēķini!I$194+Aprēķini!I$192*'Jutīguma analīze_IIA'!$B69</f>
        <v>19024.380705312749</v>
      </c>
      <c r="K69" s="515">
        <f>Aprēķini!J$194+Aprēķini!J$192*'Jutīguma analīze_IIA'!$B69</f>
        <v>23133.372164607688</v>
      </c>
      <c r="L69" s="515">
        <f>Aprēķini!K$194+Aprēķini!K$192*'Jutīguma analīze_IIA'!$B69</f>
        <v>23425.416171360608</v>
      </c>
      <c r="M69" s="515">
        <f>Aprēķini!L$194+Aprēķini!L$192*'Jutīguma analīze_IIA'!$B69</f>
        <v>23240.103195111871</v>
      </c>
      <c r="N69" s="515">
        <f>Aprēķini!M$194+Aprēķini!M$192*'Jutīguma analīze_IIA'!$B69</f>
        <v>23401.642590862532</v>
      </c>
      <c r="O69" s="515">
        <f>Aprēķini!N$194+Aprēķini!N$192*'Jutīguma analīze_IIA'!$B69</f>
        <v>23214.758254067499</v>
      </c>
      <c r="P69" s="515">
        <f>Aprēķini!O$194+Aprēķini!O$192*'Jutīguma analīze_IIA'!$B69</f>
        <v>18276.612498203049</v>
      </c>
      <c r="Q69" s="515">
        <f>Aprēķini!P$194+Aprēķini!P$192*'Jutīguma analīze_IIA'!$B69</f>
        <v>18194.399950333191</v>
      </c>
      <c r="R69" s="515">
        <f>Aprēķini!Q$194+Aprēķini!Q$192*'Jutīguma analīze_IIA'!$B69</f>
        <v>20887.006378460395</v>
      </c>
      <c r="S69" s="515">
        <f>Aprēķini!R$194+Aprēķini!R$192*'Jutīguma analīze_IIA'!$B69</f>
        <v>19249.890941338632</v>
      </c>
      <c r="T69" s="515">
        <f>Aprēķini!S$194+Aprēķini!S$192*'Jutīguma analīze_IIA'!$B69</f>
        <v>23571.910812016918</v>
      </c>
      <c r="U69" s="515">
        <f>Aprēķini!T$194+Aprēķini!T$192*'Jutīguma analīze_IIA'!$B69</f>
        <v>18836.484997054347</v>
      </c>
      <c r="V69" s="515">
        <f>Aprēķini!U$194+Aprēķini!U$192*'Jutīguma analīze_IIA'!$B69</f>
        <v>18977.420077184997</v>
      </c>
      <c r="W69" s="515">
        <f>Aprēķini!V$194+Aprēķini!V$192*'Jutīguma analīze_IIA'!$B69</f>
        <v>18640.750601324151</v>
      </c>
      <c r="X69" s="515">
        <f>Aprēķini!W$194+Aprēķini!W$192*'Jutīguma analīze_IIA'!$B69</f>
        <v>18584.833309455113</v>
      </c>
      <c r="Y69" s="515">
        <f>Aprēķini!X$194+Aprēķini!X$192*'Jutīguma analīze_IIA'!$B69</f>
        <v>21302.163633036693</v>
      </c>
      <c r="Z69" s="515">
        <f>Aprēķini!Y$194+Aprēķini!Y$192*'Jutīguma analīze_IIA'!$B69</f>
        <v>21246.246341168007</v>
      </c>
      <c r="AA69" s="515">
        <f>Aprēķini!Z$194+Aprēķini!Z$192*'Jutīguma analīze_IIA'!$B69</f>
        <v>20841.905316753226</v>
      </c>
      <c r="AB69" s="515">
        <f>Aprēķini!AA$194+Aprēķini!AA$192*'Jutīguma analīze_IIA'!$B69</f>
        <v>21132.840396883556</v>
      </c>
      <c r="AC69" s="515">
        <f>Aprēķini!AB$194+Aprēķini!AB$192*'Jutīguma analīze_IIA'!$B69</f>
        <v>20944.847133466217</v>
      </c>
      <c r="AD69" s="515">
        <f>Aprēķini!AC$194+Aprēķini!AC$192*'Jutīguma analīze_IIA'!$B69</f>
        <v>23326.348023100349</v>
      </c>
      <c r="AE69" s="515">
        <f>Aprēķini!AD$194+Aprēķini!AD$192*'Jutīguma analīze_IIA'!$B69</f>
        <v>37979.157355067888</v>
      </c>
      <c r="AF69" s="515">
        <f>Aprēķini!AE$194+Aprēķini!AE$192*'Jutīguma analīze_IIA'!$B69</f>
        <v>37863.849684194473</v>
      </c>
      <c r="AG69" s="515">
        <f>Aprēķini!AF$194+Aprēķini!AF$192*'Jutīguma analīze_IIA'!$B69</f>
        <v>28707.906406966285</v>
      </c>
      <c r="AH69" s="515">
        <f>Aprēķini!AG$194+Aprēķini!AG$192*'Jutīguma analīze_IIA'!$B69</f>
        <v>577251.55153647112</v>
      </c>
      <c r="AI69" s="515">
        <f>Aprēķini!AH$194+Aprēķini!AH$192*'Jutīguma analīze_IIA'!$B69</f>
        <v>28517.196665976007</v>
      </c>
    </row>
    <row r="70" spans="1:35" ht="12.75" x14ac:dyDescent="0.2">
      <c r="A70" s="639"/>
      <c r="B70" s="116">
        <v>0</v>
      </c>
      <c r="C70" s="583">
        <f>Aprēķini!B$194+Aprēķini!B$192*'Jutīguma analīze_IIA'!$B70</f>
        <v>-591813.80000000005</v>
      </c>
      <c r="D70" s="583">
        <f>Aprēķini!C$194+Aprēķini!C$192*'Jutīguma analīze_IIA'!$B70</f>
        <v>-350720.66395739687</v>
      </c>
      <c r="E70" s="583">
        <f>Aprēķini!D$194+Aprēķini!D$192*'Jutīguma analīze_IIA'!$B70</f>
        <v>-520570.17406634899</v>
      </c>
      <c r="F70" s="583">
        <f>Aprēķini!E$194+Aprēķini!E$192*'Jutīguma analīze_IIA'!$B70</f>
        <v>19247.173944001472</v>
      </c>
      <c r="G70" s="583">
        <f>Aprēķini!F$194+Aprēķini!F$192*'Jutīguma analīze_IIA'!$B70</f>
        <v>19086.548229935772</v>
      </c>
      <c r="H70" s="583">
        <f>Aprēķini!G$194+Aprēķini!G$192*'Jutīguma analīze_IIA'!$B70</f>
        <v>19504.868073486694</v>
      </c>
      <c r="I70" s="583">
        <f>Aprēķini!H$194+Aprēķini!H$192*'Jutīguma analīze_IIA'!$B70</f>
        <v>19428.752803105002</v>
      </c>
      <c r="J70" s="583">
        <f>Aprēķini!I$194+Aprēķini!I$192*'Jutīguma analīze_IIA'!$B70</f>
        <v>19024.380705312749</v>
      </c>
      <c r="K70" s="583">
        <f>Aprēķini!J$194+Aprēķini!J$192*'Jutīguma analīze_IIA'!$B70</f>
        <v>23133.372164607688</v>
      </c>
      <c r="L70" s="583">
        <f>Aprēķini!K$194+Aprēķini!K$192*'Jutīguma analīze_IIA'!$B70</f>
        <v>23425.416171360608</v>
      </c>
      <c r="M70" s="583">
        <f>Aprēķini!L$194+Aprēķini!L$192*'Jutīguma analīze_IIA'!$B70</f>
        <v>23240.103195111871</v>
      </c>
      <c r="N70" s="583">
        <f>Aprēķini!M$194+Aprēķini!M$192*'Jutīguma analīze_IIA'!$B70</f>
        <v>23401.642590862532</v>
      </c>
      <c r="O70" s="583">
        <f>Aprēķini!N$194+Aprēķini!N$192*'Jutīguma analīze_IIA'!$B70</f>
        <v>23214.758254067499</v>
      </c>
      <c r="P70" s="583">
        <f>Aprēķini!O$194+Aprēķini!O$192*'Jutīguma analīze_IIA'!$B70</f>
        <v>18276.612498203049</v>
      </c>
      <c r="Q70" s="583">
        <f>Aprēķini!P$194+Aprēķini!P$192*'Jutīguma analīze_IIA'!$B70</f>
        <v>18194.399950333191</v>
      </c>
      <c r="R70" s="583">
        <f>Aprēķini!Q$194+Aprēķini!Q$192*'Jutīguma analīze_IIA'!$B70</f>
        <v>20887.006378460395</v>
      </c>
      <c r="S70" s="583">
        <f>Aprēķini!R$194+Aprēķini!R$192*'Jutīguma analīze_IIA'!$B70</f>
        <v>19249.890941338632</v>
      </c>
      <c r="T70" s="583">
        <f>Aprēķini!S$194+Aprēķini!S$192*'Jutīguma analīze_IIA'!$B70</f>
        <v>23571.910812016918</v>
      </c>
      <c r="U70" s="583">
        <f>Aprēķini!T$194+Aprēķini!T$192*'Jutīguma analīze_IIA'!$B70</f>
        <v>18836.484997054347</v>
      </c>
      <c r="V70" s="583">
        <f>Aprēķini!U$194+Aprēķini!U$192*'Jutīguma analīze_IIA'!$B70</f>
        <v>18977.420077184997</v>
      </c>
      <c r="W70" s="583">
        <f>Aprēķini!V$194+Aprēķini!V$192*'Jutīguma analīze_IIA'!$B70</f>
        <v>18640.750601324151</v>
      </c>
      <c r="X70" s="583">
        <f>Aprēķini!W$194+Aprēķini!W$192*'Jutīguma analīze_IIA'!$B70</f>
        <v>18584.833309455113</v>
      </c>
      <c r="Y70" s="583">
        <f>Aprēķini!X$194+Aprēķini!X$192*'Jutīguma analīze_IIA'!$B70</f>
        <v>21302.163633036693</v>
      </c>
      <c r="Z70" s="583">
        <f>Aprēķini!Y$194+Aprēķini!Y$192*'Jutīguma analīze_IIA'!$B70</f>
        <v>21246.246341168007</v>
      </c>
      <c r="AA70" s="583">
        <f>Aprēķini!Z$194+Aprēķini!Z$192*'Jutīguma analīze_IIA'!$B70</f>
        <v>20841.905316753226</v>
      </c>
      <c r="AB70" s="583">
        <f>Aprēķini!AA$194+Aprēķini!AA$192*'Jutīguma analīze_IIA'!$B70</f>
        <v>21132.840396883556</v>
      </c>
      <c r="AC70" s="583">
        <f>Aprēķini!AB$194+Aprēķini!AB$192*'Jutīguma analīze_IIA'!$B70</f>
        <v>20944.847133466217</v>
      </c>
      <c r="AD70" s="583">
        <f>Aprēķini!AC$194+Aprēķini!AC$192*'Jutīguma analīze_IIA'!$B70</f>
        <v>23326.348023100349</v>
      </c>
      <c r="AE70" s="583">
        <f>Aprēķini!AD$194+Aprēķini!AD$192*'Jutīguma analīze_IIA'!$B70</f>
        <v>37979.157355067888</v>
      </c>
      <c r="AF70" s="583">
        <f>Aprēķini!AE$194+Aprēķini!AE$192*'Jutīguma analīze_IIA'!$B70</f>
        <v>37863.849684194473</v>
      </c>
      <c r="AG70" s="583">
        <f>Aprēķini!AF$194+Aprēķini!AF$192*'Jutīguma analīze_IIA'!$B70</f>
        <v>28707.906406966285</v>
      </c>
      <c r="AH70" s="583">
        <f>Aprēķini!AG$194+Aprēķini!AG$192*'Jutīguma analīze_IIA'!$B70</f>
        <v>577251.55153647112</v>
      </c>
      <c r="AI70" s="583">
        <f>Aprēķini!AH$194+Aprēķini!AH$192*'Jutīguma analīze_IIA'!$B70</f>
        <v>28517.196665976007</v>
      </c>
    </row>
    <row r="71" spans="1:35" ht="12.75" x14ac:dyDescent="0.2">
      <c r="A71" s="639"/>
      <c r="B71" s="115">
        <v>-0.01</v>
      </c>
      <c r="C71" s="515">
        <f>Aprēķini!B$194+Aprēķini!B$192*'Jutīguma analīze_IIA'!$B71</f>
        <v>-597731.93800000008</v>
      </c>
      <c r="D71" s="515">
        <f>Aprēķini!C$194+Aprēķini!C$192*'Jutīguma analīze_IIA'!$B71</f>
        <v>-354223.86865739687</v>
      </c>
      <c r="E71" s="515">
        <f>Aprēķini!D$194+Aprēķini!D$192*'Jutīguma analīze_IIA'!$B71</f>
        <v>-525804.82406634896</v>
      </c>
      <c r="F71" s="515">
        <f>Aprēķini!E$194+Aprēķini!E$192*'Jutīguma analīze_IIA'!$B71</f>
        <v>19247.173944001472</v>
      </c>
      <c r="G71" s="515">
        <f>Aprēķini!F$194+Aprēķini!F$192*'Jutīguma analīze_IIA'!$B71</f>
        <v>19086.548229935772</v>
      </c>
      <c r="H71" s="515">
        <f>Aprēķini!G$194+Aprēķini!G$192*'Jutīguma analīze_IIA'!$B71</f>
        <v>19504.868073486694</v>
      </c>
      <c r="I71" s="515">
        <f>Aprēķini!H$194+Aprēķini!H$192*'Jutīguma analīze_IIA'!$B71</f>
        <v>19428.752803105002</v>
      </c>
      <c r="J71" s="515">
        <f>Aprēķini!I$194+Aprēķini!I$192*'Jutīguma analīze_IIA'!$B71</f>
        <v>19024.380705312749</v>
      </c>
      <c r="K71" s="515">
        <f>Aprēķini!J$194+Aprēķini!J$192*'Jutīguma analīze_IIA'!$B71</f>
        <v>23133.372164607688</v>
      </c>
      <c r="L71" s="515">
        <f>Aprēķini!K$194+Aprēķini!K$192*'Jutīguma analīze_IIA'!$B71</f>
        <v>23425.416171360608</v>
      </c>
      <c r="M71" s="515">
        <f>Aprēķini!L$194+Aprēķini!L$192*'Jutīguma analīze_IIA'!$B71</f>
        <v>23240.103195111871</v>
      </c>
      <c r="N71" s="515">
        <f>Aprēķini!M$194+Aprēķini!M$192*'Jutīguma analīze_IIA'!$B71</f>
        <v>23401.642590862532</v>
      </c>
      <c r="O71" s="515">
        <f>Aprēķini!N$194+Aprēķini!N$192*'Jutīguma analīze_IIA'!$B71</f>
        <v>23214.758254067499</v>
      </c>
      <c r="P71" s="515">
        <f>Aprēķini!O$194+Aprēķini!O$192*'Jutīguma analīze_IIA'!$B71</f>
        <v>18276.612498203049</v>
      </c>
      <c r="Q71" s="515">
        <f>Aprēķini!P$194+Aprēķini!P$192*'Jutīguma analīze_IIA'!$B71</f>
        <v>18194.399950333191</v>
      </c>
      <c r="R71" s="515">
        <f>Aprēķini!Q$194+Aprēķini!Q$192*'Jutīguma analīze_IIA'!$B71</f>
        <v>20887.006378460395</v>
      </c>
      <c r="S71" s="515">
        <f>Aprēķini!R$194+Aprēķini!R$192*'Jutīguma analīze_IIA'!$B71</f>
        <v>19249.890941338632</v>
      </c>
      <c r="T71" s="515">
        <f>Aprēķini!S$194+Aprēķini!S$192*'Jutīguma analīze_IIA'!$B71</f>
        <v>23571.910812016918</v>
      </c>
      <c r="U71" s="515">
        <f>Aprēķini!T$194+Aprēķini!T$192*'Jutīguma analīze_IIA'!$B71</f>
        <v>18836.484997054347</v>
      </c>
      <c r="V71" s="515">
        <f>Aprēķini!U$194+Aprēķini!U$192*'Jutīguma analīze_IIA'!$B71</f>
        <v>18977.420077184997</v>
      </c>
      <c r="W71" s="515">
        <f>Aprēķini!V$194+Aprēķini!V$192*'Jutīguma analīze_IIA'!$B71</f>
        <v>18640.750601324151</v>
      </c>
      <c r="X71" s="515">
        <f>Aprēķini!W$194+Aprēķini!W$192*'Jutīguma analīze_IIA'!$B71</f>
        <v>18584.833309455113</v>
      </c>
      <c r="Y71" s="515">
        <f>Aprēķini!X$194+Aprēķini!X$192*'Jutīguma analīze_IIA'!$B71</f>
        <v>21302.163633036693</v>
      </c>
      <c r="Z71" s="515">
        <f>Aprēķini!Y$194+Aprēķini!Y$192*'Jutīguma analīze_IIA'!$B71</f>
        <v>21246.246341168007</v>
      </c>
      <c r="AA71" s="515">
        <f>Aprēķini!Z$194+Aprēķini!Z$192*'Jutīguma analīze_IIA'!$B71</f>
        <v>20841.905316753226</v>
      </c>
      <c r="AB71" s="515">
        <f>Aprēķini!AA$194+Aprēķini!AA$192*'Jutīguma analīze_IIA'!$B71</f>
        <v>21132.840396883556</v>
      </c>
      <c r="AC71" s="515">
        <f>Aprēķini!AB$194+Aprēķini!AB$192*'Jutīguma analīze_IIA'!$B71</f>
        <v>20944.847133466217</v>
      </c>
      <c r="AD71" s="515">
        <f>Aprēķini!AC$194+Aprēķini!AC$192*'Jutīguma analīze_IIA'!$B71</f>
        <v>23326.348023100349</v>
      </c>
      <c r="AE71" s="515">
        <f>Aprēķini!AD$194+Aprēķini!AD$192*'Jutīguma analīze_IIA'!$B71</f>
        <v>37979.157355067888</v>
      </c>
      <c r="AF71" s="515">
        <f>Aprēķini!AE$194+Aprēķini!AE$192*'Jutīguma analīze_IIA'!$B71</f>
        <v>37863.849684194473</v>
      </c>
      <c r="AG71" s="515">
        <f>Aprēķini!AF$194+Aprēķini!AF$192*'Jutīguma analīze_IIA'!$B71</f>
        <v>28707.906406966285</v>
      </c>
      <c r="AH71" s="515">
        <f>Aprēķini!AG$194+Aprēķini!AG$192*'Jutīguma analīze_IIA'!$B71</f>
        <v>577251.55153647112</v>
      </c>
      <c r="AI71" s="515">
        <f>Aprēķini!AH$194+Aprēķini!AH$192*'Jutīguma analīze_IIA'!$B71</f>
        <v>28517.196665976007</v>
      </c>
    </row>
    <row r="72" spans="1:35" ht="12.75" x14ac:dyDescent="0.2">
      <c r="A72" s="639"/>
      <c r="B72" s="115">
        <v>-2.5000000000000001E-2</v>
      </c>
      <c r="C72" s="515">
        <f>Aprēķini!B$194+Aprēķini!B$192*'Jutīguma analīze_IIA'!$B72</f>
        <v>-606609.14500000002</v>
      </c>
      <c r="D72" s="515">
        <f>Aprēķini!C$194+Aprēķini!C$192*'Jutīguma analīze_IIA'!$B72</f>
        <v>-359478.67570739688</v>
      </c>
      <c r="E72" s="515">
        <f>Aprēķini!D$194+Aprēķini!D$192*'Jutīguma analīze_IIA'!$B72</f>
        <v>-533656.79906634893</v>
      </c>
      <c r="F72" s="515">
        <f>Aprēķini!E$194+Aprēķini!E$192*'Jutīguma analīze_IIA'!$B72</f>
        <v>19247.173944001472</v>
      </c>
      <c r="G72" s="515">
        <f>Aprēķini!F$194+Aprēķini!F$192*'Jutīguma analīze_IIA'!$B72</f>
        <v>19086.548229935772</v>
      </c>
      <c r="H72" s="515">
        <f>Aprēķini!G$194+Aprēķini!G$192*'Jutīguma analīze_IIA'!$B72</f>
        <v>19504.868073486694</v>
      </c>
      <c r="I72" s="515">
        <f>Aprēķini!H$194+Aprēķini!H$192*'Jutīguma analīze_IIA'!$B72</f>
        <v>19428.752803105002</v>
      </c>
      <c r="J72" s="515">
        <f>Aprēķini!I$194+Aprēķini!I$192*'Jutīguma analīze_IIA'!$B72</f>
        <v>19024.380705312749</v>
      </c>
      <c r="K72" s="515">
        <f>Aprēķini!J$194+Aprēķini!J$192*'Jutīguma analīze_IIA'!$B72</f>
        <v>23133.372164607688</v>
      </c>
      <c r="L72" s="515">
        <f>Aprēķini!K$194+Aprēķini!K$192*'Jutīguma analīze_IIA'!$B72</f>
        <v>23425.416171360608</v>
      </c>
      <c r="M72" s="515">
        <f>Aprēķini!L$194+Aprēķini!L$192*'Jutīguma analīze_IIA'!$B72</f>
        <v>23240.103195111871</v>
      </c>
      <c r="N72" s="515">
        <f>Aprēķini!M$194+Aprēķini!M$192*'Jutīguma analīze_IIA'!$B72</f>
        <v>23401.642590862532</v>
      </c>
      <c r="O72" s="515">
        <f>Aprēķini!N$194+Aprēķini!N$192*'Jutīguma analīze_IIA'!$B72</f>
        <v>23214.758254067499</v>
      </c>
      <c r="P72" s="515">
        <f>Aprēķini!O$194+Aprēķini!O$192*'Jutīguma analīze_IIA'!$B72</f>
        <v>18276.612498203049</v>
      </c>
      <c r="Q72" s="515">
        <f>Aprēķini!P$194+Aprēķini!P$192*'Jutīguma analīze_IIA'!$B72</f>
        <v>18194.399950333191</v>
      </c>
      <c r="R72" s="515">
        <f>Aprēķini!Q$194+Aprēķini!Q$192*'Jutīguma analīze_IIA'!$B72</f>
        <v>20887.006378460395</v>
      </c>
      <c r="S72" s="515">
        <f>Aprēķini!R$194+Aprēķini!R$192*'Jutīguma analīze_IIA'!$B72</f>
        <v>19249.890941338632</v>
      </c>
      <c r="T72" s="515">
        <f>Aprēķini!S$194+Aprēķini!S$192*'Jutīguma analīze_IIA'!$B72</f>
        <v>23571.910812016918</v>
      </c>
      <c r="U72" s="515">
        <f>Aprēķini!T$194+Aprēķini!T$192*'Jutīguma analīze_IIA'!$B72</f>
        <v>18836.484997054347</v>
      </c>
      <c r="V72" s="515">
        <f>Aprēķini!U$194+Aprēķini!U$192*'Jutīguma analīze_IIA'!$B72</f>
        <v>18977.420077184997</v>
      </c>
      <c r="W72" s="515">
        <f>Aprēķini!V$194+Aprēķini!V$192*'Jutīguma analīze_IIA'!$B72</f>
        <v>18640.750601324151</v>
      </c>
      <c r="X72" s="515">
        <f>Aprēķini!W$194+Aprēķini!W$192*'Jutīguma analīze_IIA'!$B72</f>
        <v>18584.833309455113</v>
      </c>
      <c r="Y72" s="515">
        <f>Aprēķini!X$194+Aprēķini!X$192*'Jutīguma analīze_IIA'!$B72</f>
        <v>21302.163633036693</v>
      </c>
      <c r="Z72" s="515">
        <f>Aprēķini!Y$194+Aprēķini!Y$192*'Jutīguma analīze_IIA'!$B72</f>
        <v>21246.246341168007</v>
      </c>
      <c r="AA72" s="515">
        <f>Aprēķini!Z$194+Aprēķini!Z$192*'Jutīguma analīze_IIA'!$B72</f>
        <v>20841.905316753226</v>
      </c>
      <c r="AB72" s="515">
        <f>Aprēķini!AA$194+Aprēķini!AA$192*'Jutīguma analīze_IIA'!$B72</f>
        <v>21132.840396883556</v>
      </c>
      <c r="AC72" s="515">
        <f>Aprēķini!AB$194+Aprēķini!AB$192*'Jutīguma analīze_IIA'!$B72</f>
        <v>20944.847133466217</v>
      </c>
      <c r="AD72" s="515">
        <f>Aprēķini!AC$194+Aprēķini!AC$192*'Jutīguma analīze_IIA'!$B72</f>
        <v>23326.348023100349</v>
      </c>
      <c r="AE72" s="515">
        <f>Aprēķini!AD$194+Aprēķini!AD$192*'Jutīguma analīze_IIA'!$B72</f>
        <v>37979.157355067888</v>
      </c>
      <c r="AF72" s="515">
        <f>Aprēķini!AE$194+Aprēķini!AE$192*'Jutīguma analīze_IIA'!$B72</f>
        <v>37863.849684194473</v>
      </c>
      <c r="AG72" s="515">
        <f>Aprēķini!AF$194+Aprēķini!AF$192*'Jutīguma analīze_IIA'!$B72</f>
        <v>28707.906406966285</v>
      </c>
      <c r="AH72" s="515">
        <f>Aprēķini!AG$194+Aprēķini!AG$192*'Jutīguma analīze_IIA'!$B72</f>
        <v>577251.55153647112</v>
      </c>
      <c r="AI72" s="515">
        <f>Aprēķini!AH$194+Aprēķini!AH$192*'Jutīguma analīze_IIA'!$B72</f>
        <v>28517.196665976007</v>
      </c>
    </row>
    <row r="73" spans="1:35" ht="12.75" x14ac:dyDescent="0.2">
      <c r="A73" s="639"/>
      <c r="B73" s="115">
        <v>-0.05</v>
      </c>
      <c r="C73" s="515">
        <f>Aprēķini!B$194+Aprēķini!B$192*'Jutīguma analīze_IIA'!$B73</f>
        <v>-621404.49</v>
      </c>
      <c r="D73" s="515">
        <f>Aprēķini!C$194+Aprēķini!C$192*'Jutīguma analīze_IIA'!$B73</f>
        <v>-368236.68745739688</v>
      </c>
      <c r="E73" s="515">
        <f>Aprēķini!D$194+Aprēķini!D$192*'Jutīguma analīze_IIA'!$B73</f>
        <v>-546743.42406634893</v>
      </c>
      <c r="F73" s="515">
        <f>Aprēķini!E$194+Aprēķini!E$192*'Jutīguma analīze_IIA'!$B73</f>
        <v>19247.173944001472</v>
      </c>
      <c r="G73" s="515">
        <f>Aprēķini!F$194+Aprēķini!F$192*'Jutīguma analīze_IIA'!$B73</f>
        <v>19086.548229935772</v>
      </c>
      <c r="H73" s="515">
        <f>Aprēķini!G$194+Aprēķini!G$192*'Jutīguma analīze_IIA'!$B73</f>
        <v>19504.868073486694</v>
      </c>
      <c r="I73" s="515">
        <f>Aprēķini!H$194+Aprēķini!H$192*'Jutīguma analīze_IIA'!$B73</f>
        <v>19428.752803105002</v>
      </c>
      <c r="J73" s="515">
        <f>Aprēķini!I$194+Aprēķini!I$192*'Jutīguma analīze_IIA'!$B73</f>
        <v>19024.380705312749</v>
      </c>
      <c r="K73" s="515">
        <f>Aprēķini!J$194+Aprēķini!J$192*'Jutīguma analīze_IIA'!$B73</f>
        <v>23133.372164607688</v>
      </c>
      <c r="L73" s="515">
        <f>Aprēķini!K$194+Aprēķini!K$192*'Jutīguma analīze_IIA'!$B73</f>
        <v>23425.416171360608</v>
      </c>
      <c r="M73" s="515">
        <f>Aprēķini!L$194+Aprēķini!L$192*'Jutīguma analīze_IIA'!$B73</f>
        <v>23240.103195111871</v>
      </c>
      <c r="N73" s="515">
        <f>Aprēķini!M$194+Aprēķini!M$192*'Jutīguma analīze_IIA'!$B73</f>
        <v>23401.642590862532</v>
      </c>
      <c r="O73" s="515">
        <f>Aprēķini!N$194+Aprēķini!N$192*'Jutīguma analīze_IIA'!$B73</f>
        <v>23214.758254067499</v>
      </c>
      <c r="P73" s="515">
        <f>Aprēķini!O$194+Aprēķini!O$192*'Jutīguma analīze_IIA'!$B73</f>
        <v>18276.612498203049</v>
      </c>
      <c r="Q73" s="515">
        <f>Aprēķini!P$194+Aprēķini!P$192*'Jutīguma analīze_IIA'!$B73</f>
        <v>18194.399950333191</v>
      </c>
      <c r="R73" s="515">
        <f>Aprēķini!Q$194+Aprēķini!Q$192*'Jutīguma analīze_IIA'!$B73</f>
        <v>20887.006378460395</v>
      </c>
      <c r="S73" s="515">
        <f>Aprēķini!R$194+Aprēķini!R$192*'Jutīguma analīze_IIA'!$B73</f>
        <v>19249.890941338632</v>
      </c>
      <c r="T73" s="515">
        <f>Aprēķini!S$194+Aprēķini!S$192*'Jutīguma analīze_IIA'!$B73</f>
        <v>23571.910812016918</v>
      </c>
      <c r="U73" s="515">
        <f>Aprēķini!T$194+Aprēķini!T$192*'Jutīguma analīze_IIA'!$B73</f>
        <v>18836.484997054347</v>
      </c>
      <c r="V73" s="515">
        <f>Aprēķini!U$194+Aprēķini!U$192*'Jutīguma analīze_IIA'!$B73</f>
        <v>18977.420077184997</v>
      </c>
      <c r="W73" s="515">
        <f>Aprēķini!V$194+Aprēķini!V$192*'Jutīguma analīze_IIA'!$B73</f>
        <v>18640.750601324151</v>
      </c>
      <c r="X73" s="515">
        <f>Aprēķini!W$194+Aprēķini!W$192*'Jutīguma analīze_IIA'!$B73</f>
        <v>18584.833309455113</v>
      </c>
      <c r="Y73" s="515">
        <f>Aprēķini!X$194+Aprēķini!X$192*'Jutīguma analīze_IIA'!$B73</f>
        <v>21302.163633036693</v>
      </c>
      <c r="Z73" s="515">
        <f>Aprēķini!Y$194+Aprēķini!Y$192*'Jutīguma analīze_IIA'!$B73</f>
        <v>21246.246341168007</v>
      </c>
      <c r="AA73" s="515">
        <f>Aprēķini!Z$194+Aprēķini!Z$192*'Jutīguma analīze_IIA'!$B73</f>
        <v>20841.905316753226</v>
      </c>
      <c r="AB73" s="515">
        <f>Aprēķini!AA$194+Aprēķini!AA$192*'Jutīguma analīze_IIA'!$B73</f>
        <v>21132.840396883556</v>
      </c>
      <c r="AC73" s="515">
        <f>Aprēķini!AB$194+Aprēķini!AB$192*'Jutīguma analīze_IIA'!$B73</f>
        <v>20944.847133466217</v>
      </c>
      <c r="AD73" s="515">
        <f>Aprēķini!AC$194+Aprēķini!AC$192*'Jutīguma analīze_IIA'!$B73</f>
        <v>23326.348023100349</v>
      </c>
      <c r="AE73" s="515">
        <f>Aprēķini!AD$194+Aprēķini!AD$192*'Jutīguma analīze_IIA'!$B73</f>
        <v>37979.157355067888</v>
      </c>
      <c r="AF73" s="515">
        <f>Aprēķini!AE$194+Aprēķini!AE$192*'Jutīguma analīze_IIA'!$B73</f>
        <v>37863.849684194473</v>
      </c>
      <c r="AG73" s="515">
        <f>Aprēķini!AF$194+Aprēķini!AF$192*'Jutīguma analīze_IIA'!$B73</f>
        <v>28707.906406966285</v>
      </c>
      <c r="AH73" s="515">
        <f>Aprēķini!AG$194+Aprēķini!AG$192*'Jutīguma analīze_IIA'!$B73</f>
        <v>577251.55153647112</v>
      </c>
      <c r="AI73" s="515">
        <f>Aprēķini!AH$194+Aprēķini!AH$192*'Jutīguma analīze_IIA'!$B73</f>
        <v>28517.196665976007</v>
      </c>
    </row>
    <row r="74" spans="1:35" ht="12.75" x14ac:dyDescent="0.2">
      <c r="A74" s="639"/>
      <c r="B74" s="115">
        <v>-7.4999999999999997E-2</v>
      </c>
      <c r="C74" s="515">
        <f>Aprēķini!B$194+Aprēķini!B$192*'Jutīguma analīze_IIA'!$B74</f>
        <v>-636199.83500000008</v>
      </c>
      <c r="D74" s="515">
        <f>Aprēķini!C$194+Aprēķini!C$192*'Jutīguma analīze_IIA'!$B74</f>
        <v>-376994.69920739689</v>
      </c>
      <c r="E74" s="515">
        <f>Aprēķini!D$194+Aprēķini!D$192*'Jutīguma analīze_IIA'!$B74</f>
        <v>-559830.04906634893</v>
      </c>
      <c r="F74" s="515">
        <f>Aprēķini!E$194+Aprēķini!E$192*'Jutīguma analīze_IIA'!$B74</f>
        <v>19247.173944001472</v>
      </c>
      <c r="G74" s="515">
        <f>Aprēķini!F$194+Aprēķini!F$192*'Jutīguma analīze_IIA'!$B74</f>
        <v>19086.548229935772</v>
      </c>
      <c r="H74" s="515">
        <f>Aprēķini!G$194+Aprēķini!G$192*'Jutīguma analīze_IIA'!$B74</f>
        <v>19504.868073486694</v>
      </c>
      <c r="I74" s="515">
        <f>Aprēķini!H$194+Aprēķini!H$192*'Jutīguma analīze_IIA'!$B74</f>
        <v>19428.752803105002</v>
      </c>
      <c r="J74" s="515">
        <f>Aprēķini!I$194+Aprēķini!I$192*'Jutīguma analīze_IIA'!$B74</f>
        <v>19024.380705312749</v>
      </c>
      <c r="K74" s="515">
        <f>Aprēķini!J$194+Aprēķini!J$192*'Jutīguma analīze_IIA'!$B74</f>
        <v>23133.372164607688</v>
      </c>
      <c r="L74" s="515">
        <f>Aprēķini!K$194+Aprēķini!K$192*'Jutīguma analīze_IIA'!$B74</f>
        <v>23425.416171360608</v>
      </c>
      <c r="M74" s="515">
        <f>Aprēķini!L$194+Aprēķini!L$192*'Jutīguma analīze_IIA'!$B74</f>
        <v>23240.103195111871</v>
      </c>
      <c r="N74" s="515">
        <f>Aprēķini!M$194+Aprēķini!M$192*'Jutīguma analīze_IIA'!$B74</f>
        <v>23401.642590862532</v>
      </c>
      <c r="O74" s="515">
        <f>Aprēķini!N$194+Aprēķini!N$192*'Jutīguma analīze_IIA'!$B74</f>
        <v>23214.758254067499</v>
      </c>
      <c r="P74" s="515">
        <f>Aprēķini!O$194+Aprēķini!O$192*'Jutīguma analīze_IIA'!$B74</f>
        <v>18276.612498203049</v>
      </c>
      <c r="Q74" s="515">
        <f>Aprēķini!P$194+Aprēķini!P$192*'Jutīguma analīze_IIA'!$B74</f>
        <v>18194.399950333191</v>
      </c>
      <c r="R74" s="515">
        <f>Aprēķini!Q$194+Aprēķini!Q$192*'Jutīguma analīze_IIA'!$B74</f>
        <v>20887.006378460395</v>
      </c>
      <c r="S74" s="515">
        <f>Aprēķini!R$194+Aprēķini!R$192*'Jutīguma analīze_IIA'!$B74</f>
        <v>19249.890941338632</v>
      </c>
      <c r="T74" s="515">
        <f>Aprēķini!S$194+Aprēķini!S$192*'Jutīguma analīze_IIA'!$B74</f>
        <v>23571.910812016918</v>
      </c>
      <c r="U74" s="515">
        <f>Aprēķini!T$194+Aprēķini!T$192*'Jutīguma analīze_IIA'!$B74</f>
        <v>18836.484997054347</v>
      </c>
      <c r="V74" s="515">
        <f>Aprēķini!U$194+Aprēķini!U$192*'Jutīguma analīze_IIA'!$B74</f>
        <v>18977.420077184997</v>
      </c>
      <c r="W74" s="515">
        <f>Aprēķini!V$194+Aprēķini!V$192*'Jutīguma analīze_IIA'!$B74</f>
        <v>18640.750601324151</v>
      </c>
      <c r="X74" s="515">
        <f>Aprēķini!W$194+Aprēķini!W$192*'Jutīguma analīze_IIA'!$B74</f>
        <v>18584.833309455113</v>
      </c>
      <c r="Y74" s="515">
        <f>Aprēķini!X$194+Aprēķini!X$192*'Jutīguma analīze_IIA'!$B74</f>
        <v>21302.163633036693</v>
      </c>
      <c r="Z74" s="515">
        <f>Aprēķini!Y$194+Aprēķini!Y$192*'Jutīguma analīze_IIA'!$B74</f>
        <v>21246.246341168007</v>
      </c>
      <c r="AA74" s="515">
        <f>Aprēķini!Z$194+Aprēķini!Z$192*'Jutīguma analīze_IIA'!$B74</f>
        <v>20841.905316753226</v>
      </c>
      <c r="AB74" s="515">
        <f>Aprēķini!AA$194+Aprēķini!AA$192*'Jutīguma analīze_IIA'!$B74</f>
        <v>21132.840396883556</v>
      </c>
      <c r="AC74" s="515">
        <f>Aprēķini!AB$194+Aprēķini!AB$192*'Jutīguma analīze_IIA'!$B74</f>
        <v>20944.847133466217</v>
      </c>
      <c r="AD74" s="515">
        <f>Aprēķini!AC$194+Aprēķini!AC$192*'Jutīguma analīze_IIA'!$B74</f>
        <v>23326.348023100349</v>
      </c>
      <c r="AE74" s="515">
        <f>Aprēķini!AD$194+Aprēķini!AD$192*'Jutīguma analīze_IIA'!$B74</f>
        <v>37979.157355067888</v>
      </c>
      <c r="AF74" s="515">
        <f>Aprēķini!AE$194+Aprēķini!AE$192*'Jutīguma analīze_IIA'!$B74</f>
        <v>37863.849684194473</v>
      </c>
      <c r="AG74" s="515">
        <f>Aprēķini!AF$194+Aprēķini!AF$192*'Jutīguma analīze_IIA'!$B74</f>
        <v>28707.906406966285</v>
      </c>
      <c r="AH74" s="515">
        <f>Aprēķini!AG$194+Aprēķini!AG$192*'Jutīguma analīze_IIA'!$B74</f>
        <v>577251.55153647112</v>
      </c>
      <c r="AI74" s="515">
        <f>Aprēķini!AH$194+Aprēķini!AH$192*'Jutīguma analīze_IIA'!$B74</f>
        <v>28517.196665976007</v>
      </c>
    </row>
    <row r="75" spans="1:35" ht="12.75" x14ac:dyDescent="0.2">
      <c r="A75" s="640"/>
      <c r="B75" s="115">
        <v>-0.1</v>
      </c>
      <c r="C75" s="515">
        <f>Aprēķini!B$194+Aprēķini!B$192*'Jutīguma analīze_IIA'!$B75</f>
        <v>-650995.18000000005</v>
      </c>
      <c r="D75" s="515">
        <f>Aprēķini!C$194+Aprēķini!C$192*'Jutīguma analīze_IIA'!$B75</f>
        <v>-385752.71095739689</v>
      </c>
      <c r="E75" s="515">
        <f>Aprēķini!D$194+Aprēķini!D$192*'Jutīguma analīze_IIA'!$B75</f>
        <v>-572916.67406634893</v>
      </c>
      <c r="F75" s="515">
        <f>Aprēķini!E$194+Aprēķini!E$192*'Jutīguma analīze_IIA'!$B75</f>
        <v>19247.173944001472</v>
      </c>
      <c r="G75" s="515">
        <f>Aprēķini!F$194+Aprēķini!F$192*'Jutīguma analīze_IIA'!$B75</f>
        <v>19086.548229935772</v>
      </c>
      <c r="H75" s="515">
        <f>Aprēķini!G$194+Aprēķini!G$192*'Jutīguma analīze_IIA'!$B75</f>
        <v>19504.868073486694</v>
      </c>
      <c r="I75" s="515">
        <f>Aprēķini!H$194+Aprēķini!H$192*'Jutīguma analīze_IIA'!$B75</f>
        <v>19428.752803105002</v>
      </c>
      <c r="J75" s="515">
        <f>Aprēķini!I$194+Aprēķini!I$192*'Jutīguma analīze_IIA'!$B75</f>
        <v>19024.380705312749</v>
      </c>
      <c r="K75" s="515">
        <f>Aprēķini!J$194+Aprēķini!J$192*'Jutīguma analīze_IIA'!$B75</f>
        <v>23133.372164607688</v>
      </c>
      <c r="L75" s="515">
        <f>Aprēķini!K$194+Aprēķini!K$192*'Jutīguma analīze_IIA'!$B75</f>
        <v>23425.416171360608</v>
      </c>
      <c r="M75" s="515">
        <f>Aprēķini!L$194+Aprēķini!L$192*'Jutīguma analīze_IIA'!$B75</f>
        <v>23240.103195111871</v>
      </c>
      <c r="N75" s="515">
        <f>Aprēķini!M$194+Aprēķini!M$192*'Jutīguma analīze_IIA'!$B75</f>
        <v>23401.642590862532</v>
      </c>
      <c r="O75" s="515">
        <f>Aprēķini!N$194+Aprēķini!N$192*'Jutīguma analīze_IIA'!$B75</f>
        <v>23214.758254067499</v>
      </c>
      <c r="P75" s="515">
        <f>Aprēķini!O$194+Aprēķini!O$192*'Jutīguma analīze_IIA'!$B75</f>
        <v>18276.612498203049</v>
      </c>
      <c r="Q75" s="515">
        <f>Aprēķini!P$194+Aprēķini!P$192*'Jutīguma analīze_IIA'!$B75</f>
        <v>18194.399950333191</v>
      </c>
      <c r="R75" s="515">
        <f>Aprēķini!Q$194+Aprēķini!Q$192*'Jutīguma analīze_IIA'!$B75</f>
        <v>20887.006378460395</v>
      </c>
      <c r="S75" s="515">
        <f>Aprēķini!R$194+Aprēķini!R$192*'Jutīguma analīze_IIA'!$B75</f>
        <v>19249.890941338632</v>
      </c>
      <c r="T75" s="515">
        <f>Aprēķini!S$194+Aprēķini!S$192*'Jutīguma analīze_IIA'!$B75</f>
        <v>23571.910812016918</v>
      </c>
      <c r="U75" s="515">
        <f>Aprēķini!T$194+Aprēķini!T$192*'Jutīguma analīze_IIA'!$B75</f>
        <v>18836.484997054347</v>
      </c>
      <c r="V75" s="515">
        <f>Aprēķini!U$194+Aprēķini!U$192*'Jutīguma analīze_IIA'!$B75</f>
        <v>18977.420077184997</v>
      </c>
      <c r="W75" s="515">
        <f>Aprēķini!V$194+Aprēķini!V$192*'Jutīguma analīze_IIA'!$B75</f>
        <v>18640.750601324151</v>
      </c>
      <c r="X75" s="515">
        <f>Aprēķini!W$194+Aprēķini!W$192*'Jutīguma analīze_IIA'!$B75</f>
        <v>18584.833309455113</v>
      </c>
      <c r="Y75" s="515">
        <f>Aprēķini!X$194+Aprēķini!X$192*'Jutīguma analīze_IIA'!$B75</f>
        <v>21302.163633036693</v>
      </c>
      <c r="Z75" s="515">
        <f>Aprēķini!Y$194+Aprēķini!Y$192*'Jutīguma analīze_IIA'!$B75</f>
        <v>21246.246341168007</v>
      </c>
      <c r="AA75" s="515">
        <f>Aprēķini!Z$194+Aprēķini!Z$192*'Jutīguma analīze_IIA'!$B75</f>
        <v>20841.905316753226</v>
      </c>
      <c r="AB75" s="515">
        <f>Aprēķini!AA$194+Aprēķini!AA$192*'Jutīguma analīze_IIA'!$B75</f>
        <v>21132.840396883556</v>
      </c>
      <c r="AC75" s="515">
        <f>Aprēķini!AB$194+Aprēķini!AB$192*'Jutīguma analīze_IIA'!$B75</f>
        <v>20944.847133466217</v>
      </c>
      <c r="AD75" s="515">
        <f>Aprēķini!AC$194+Aprēķini!AC$192*'Jutīguma analīze_IIA'!$B75</f>
        <v>23326.348023100349</v>
      </c>
      <c r="AE75" s="515">
        <f>Aprēķini!AD$194+Aprēķini!AD$192*'Jutīguma analīze_IIA'!$B75</f>
        <v>37979.157355067888</v>
      </c>
      <c r="AF75" s="515">
        <f>Aprēķini!AE$194+Aprēķini!AE$192*'Jutīguma analīze_IIA'!$B75</f>
        <v>37863.849684194473</v>
      </c>
      <c r="AG75" s="515">
        <f>Aprēķini!AF$194+Aprēķini!AF$192*'Jutīguma analīze_IIA'!$B75</f>
        <v>28707.906406966285</v>
      </c>
      <c r="AH75" s="515">
        <f>Aprēķini!AG$194+Aprēķini!AG$192*'Jutīguma analīze_IIA'!$B75</f>
        <v>577251.55153647112</v>
      </c>
      <c r="AI75" s="515">
        <f>Aprēķini!AH$194+Aprēķini!AH$192*'Jutīguma analīze_IIA'!$B75</f>
        <v>28517.196665976007</v>
      </c>
    </row>
    <row r="76" spans="1:35" ht="12.75" x14ac:dyDescent="0.2">
      <c r="A76" s="113" t="s">
        <v>186</v>
      </c>
      <c r="B76" s="115">
        <v>0.1</v>
      </c>
      <c r="C76" s="515">
        <f>Aprēķini!B$246+Aprēķini!B$192*'Jutīguma analīze_IIA'!$B76</f>
        <v>57938.796000000002</v>
      </c>
      <c r="D76" s="515">
        <f>Aprēķini!C$246+Aprēķini!C$192*'Jutīguma analīze_IIA'!$B76</f>
        <v>33389.269042603126</v>
      </c>
      <c r="E76" s="515">
        <f>Aprēķini!D$246+Aprēķini!D$192*'Jutīguma analīze_IIA'!$B76</f>
        <v>53541.330933651014</v>
      </c>
      <c r="F76" s="515">
        <f>Aprēķini!E$246+Aprēķini!E$192*'Jutīguma analīze_IIA'!$B76</f>
        <v>8369.5376273348047</v>
      </c>
      <c r="G76" s="515">
        <f>Aprēķini!F$246+Aprēķini!F$192*'Jutīguma analīze_IIA'!$B76</f>
        <v>8248.8147016024377</v>
      </c>
      <c r="H76" s="515">
        <f>Aprēķini!G$246+Aprēķini!G$192*'Jutīguma analīze_IIA'!$B76</f>
        <v>8707.0373334866927</v>
      </c>
      <c r="I76" s="515">
        <f>Aprēķini!H$246+Aprēķini!H$192*'Jutīguma analīze_IIA'!$B76</f>
        <v>8670.8248514383376</v>
      </c>
      <c r="J76" s="515">
        <f>Aprēķini!I$246+Aprēķini!I$192*'Jutīguma analīze_IIA'!$B76</f>
        <v>8306.3555419794175</v>
      </c>
      <c r="K76" s="515">
        <f>Aprēķini!J$246+Aprēķini!J$192*'Jutīguma analīze_IIA'!$B76</f>
        <v>12455.249789607689</v>
      </c>
      <c r="L76" s="515">
        <f>Aprēķini!K$246+Aprēķini!K$192*'Jutīguma analīze_IIA'!$B76</f>
        <v>12787.196584693942</v>
      </c>
      <c r="M76" s="515">
        <f>Aprēķini!L$246+Aprēķini!L$192*'Jutīguma analīze_IIA'!$B76</f>
        <v>12641.786396778538</v>
      </c>
      <c r="N76" s="515">
        <f>Aprēķini!M$246+Aprēķini!M$192*'Jutīguma analīze_IIA'!$B76</f>
        <v>12843.228580862531</v>
      </c>
      <c r="O76" s="515">
        <f>Aprēķini!N$246+Aprēķini!N$192*'Jutīguma analīze_IIA'!$B76</f>
        <v>12696.247032400832</v>
      </c>
      <c r="P76" s="515">
        <f>Aprēķini!O$246+Aprēķini!O$192*'Jutīguma analīze_IIA'!$B76</f>
        <v>7798.0040648697177</v>
      </c>
      <c r="Q76" s="515">
        <f>Aprēķini!P$246+Aprēķini!P$192*'Jutīguma analīze_IIA'!$B76</f>
        <v>7755.6943053331925</v>
      </c>
      <c r="R76" s="515">
        <f>Aprēķini!Q$246+Aprēķini!Q$192*'Jutīguma analīze_IIA'!$B76</f>
        <v>10488.20352179373</v>
      </c>
      <c r="S76" s="515">
        <f>Aprēķini!R$246+Aprēķini!R$192*'Jutīguma analīze_IIA'!$B76</f>
        <v>8890.9908730052994</v>
      </c>
      <c r="T76" s="515">
        <f>Aprēķini!S$246+Aprēķini!S$192*'Jutīguma analīze_IIA'!$B76</f>
        <v>13252.913532016919</v>
      </c>
      <c r="U76" s="515">
        <f>Aprēķini!T$246+Aprēķini!T$192*'Jutīguma analīze_IIA'!$B76</f>
        <v>8557.3905053876806</v>
      </c>
      <c r="V76" s="515">
        <f>Aprēķini!U$246+Aprēķini!U$192*'Jutīguma analīze_IIA'!$B76</f>
        <v>8738.2283738516671</v>
      </c>
      <c r="W76" s="515">
        <f>Aprēķini!V$246+Aprēķini!V$192*'Jutīguma analīze_IIA'!$B76</f>
        <v>8441.4616863241536</v>
      </c>
      <c r="X76" s="515">
        <f>Aprēķini!W$246+Aprēķini!W$192*'Jutīguma analīze_IIA'!$B76</f>
        <v>8425.4471827884481</v>
      </c>
      <c r="Y76" s="515">
        <f>Aprēķini!X$246+Aprēķini!X$192*'Jutīguma analīze_IIA'!$B76</f>
        <v>11182.680294703361</v>
      </c>
      <c r="Z76" s="515">
        <f>Aprēķini!Y$246+Aprēķini!Y$192*'Jutīguma analīze_IIA'!$B76</f>
        <v>11166.665791168009</v>
      </c>
      <c r="AA76" s="515">
        <f>Aprēķini!Z$246+Aprēķini!Z$192*'Jutīguma analīze_IIA'!$B76</f>
        <v>10802.22755508656</v>
      </c>
      <c r="AB76" s="515">
        <f>Aprēķini!AA$246+Aprēķini!AA$192*'Jutīguma analīze_IIA'!$B76</f>
        <v>11133.065423550222</v>
      </c>
      <c r="AC76" s="515">
        <f>Aprēķini!AB$246+Aprēķini!AB$192*'Jutīguma analīze_IIA'!$B76</f>
        <v>10984.974948466221</v>
      </c>
      <c r="AD76" s="515">
        <f>Aprēķini!AC$246+Aprēķini!AC$192*'Jutīguma analīze_IIA'!$B76</f>
        <v>13406.378626433685</v>
      </c>
      <c r="AE76" s="515">
        <f>Aprēķini!AD$246+Aprēķini!AD$192*'Jutīguma analīze_IIA'!$B76</f>
        <v>28099.090746734568</v>
      </c>
      <c r="AF76" s="515">
        <f>Aprēķini!AE$246+Aprēķini!AE$192*'Jutīguma analīze_IIA'!$B76</f>
        <v>28023.685864194485</v>
      </c>
      <c r="AG76" s="515">
        <f>Aprēķini!AF$246+Aprēķini!AF$192*'Jutīguma analīze_IIA'!$B76</f>
        <v>18907.645375299631</v>
      </c>
      <c r="AH76" s="515">
        <f>Aprēķini!AG$246+Aprēķini!AG$192*'Jutīguma analīze_IIA'!$B76</f>
        <v>567491.19329313783</v>
      </c>
      <c r="AI76" s="515">
        <f>Aprēķini!AH$246+Aprēķini!AH$192*'Jutīguma analīze_IIA'!$B76</f>
        <v>18796.741210976019</v>
      </c>
    </row>
    <row r="77" spans="1:35" ht="12.75" x14ac:dyDescent="0.2">
      <c r="A77" s="638"/>
      <c r="B77" s="115">
        <v>7.4999999999999997E-2</v>
      </c>
      <c r="C77" s="515">
        <f>Aprēķini!B$246+Aprēķini!B$192*'Jutīguma analīze_IIA'!$B77</f>
        <v>43143.451000000001</v>
      </c>
      <c r="D77" s="515">
        <f>Aprēķini!C$246+Aprēķini!C$192*'Jutīguma analīze_IIA'!$B77</f>
        <v>24631.257292603128</v>
      </c>
      <c r="E77" s="515">
        <f>Aprēķini!D$246+Aprēķini!D$192*'Jutīguma analīze_IIA'!$B77</f>
        <v>40454.705933651014</v>
      </c>
      <c r="F77" s="515">
        <f>Aprēķini!E$246+Aprēķini!E$192*'Jutīguma analīze_IIA'!$B77</f>
        <v>8369.5376273348047</v>
      </c>
      <c r="G77" s="515">
        <f>Aprēķini!F$246+Aprēķini!F$192*'Jutīguma analīze_IIA'!$B77</f>
        <v>8248.8147016024377</v>
      </c>
      <c r="H77" s="515">
        <f>Aprēķini!G$246+Aprēķini!G$192*'Jutīguma analīze_IIA'!$B77</f>
        <v>8707.0373334866927</v>
      </c>
      <c r="I77" s="515">
        <f>Aprēķini!H$246+Aprēķini!H$192*'Jutīguma analīze_IIA'!$B77</f>
        <v>8670.8248514383376</v>
      </c>
      <c r="J77" s="515">
        <f>Aprēķini!I$246+Aprēķini!I$192*'Jutīguma analīze_IIA'!$B77</f>
        <v>8306.3555419794175</v>
      </c>
      <c r="K77" s="515">
        <f>Aprēķini!J$246+Aprēķini!J$192*'Jutīguma analīze_IIA'!$B77</f>
        <v>12455.249789607689</v>
      </c>
      <c r="L77" s="515">
        <f>Aprēķini!K$246+Aprēķini!K$192*'Jutīguma analīze_IIA'!$B77</f>
        <v>12787.196584693942</v>
      </c>
      <c r="M77" s="515">
        <f>Aprēķini!L$246+Aprēķini!L$192*'Jutīguma analīze_IIA'!$B77</f>
        <v>12641.786396778538</v>
      </c>
      <c r="N77" s="515">
        <f>Aprēķini!M$246+Aprēķini!M$192*'Jutīguma analīze_IIA'!$B77</f>
        <v>12843.228580862531</v>
      </c>
      <c r="O77" s="515">
        <f>Aprēķini!N$246+Aprēķini!N$192*'Jutīguma analīze_IIA'!$B77</f>
        <v>12696.247032400832</v>
      </c>
      <c r="P77" s="515">
        <f>Aprēķini!O$246+Aprēķini!O$192*'Jutīguma analīze_IIA'!$B77</f>
        <v>7798.0040648697177</v>
      </c>
      <c r="Q77" s="515">
        <f>Aprēķini!P$246+Aprēķini!P$192*'Jutīguma analīze_IIA'!$B77</f>
        <v>7755.6943053331925</v>
      </c>
      <c r="R77" s="515">
        <f>Aprēķini!Q$246+Aprēķini!Q$192*'Jutīguma analīze_IIA'!$B77</f>
        <v>10488.20352179373</v>
      </c>
      <c r="S77" s="515">
        <f>Aprēķini!R$246+Aprēķini!R$192*'Jutīguma analīze_IIA'!$B77</f>
        <v>8890.9908730052994</v>
      </c>
      <c r="T77" s="515">
        <f>Aprēķini!S$246+Aprēķini!S$192*'Jutīguma analīze_IIA'!$B77</f>
        <v>13252.913532016919</v>
      </c>
      <c r="U77" s="515">
        <f>Aprēķini!T$246+Aprēķini!T$192*'Jutīguma analīze_IIA'!$B77</f>
        <v>8557.3905053876806</v>
      </c>
      <c r="V77" s="515">
        <f>Aprēķini!U$246+Aprēķini!U$192*'Jutīguma analīze_IIA'!$B77</f>
        <v>8738.2283738516671</v>
      </c>
      <c r="W77" s="515">
        <f>Aprēķini!V$246+Aprēķini!V$192*'Jutīguma analīze_IIA'!$B77</f>
        <v>8441.4616863241536</v>
      </c>
      <c r="X77" s="515">
        <f>Aprēķini!W$246+Aprēķini!W$192*'Jutīguma analīze_IIA'!$B77</f>
        <v>8425.4471827884481</v>
      </c>
      <c r="Y77" s="515">
        <f>Aprēķini!X$246+Aprēķini!X$192*'Jutīguma analīze_IIA'!$B77</f>
        <v>11182.680294703361</v>
      </c>
      <c r="Z77" s="515">
        <f>Aprēķini!Y$246+Aprēķini!Y$192*'Jutīguma analīze_IIA'!$B77</f>
        <v>11166.665791168009</v>
      </c>
      <c r="AA77" s="515">
        <f>Aprēķini!Z$246+Aprēķini!Z$192*'Jutīguma analīze_IIA'!$B77</f>
        <v>10802.22755508656</v>
      </c>
      <c r="AB77" s="515">
        <f>Aprēķini!AA$246+Aprēķini!AA$192*'Jutīguma analīze_IIA'!$B77</f>
        <v>11133.065423550222</v>
      </c>
      <c r="AC77" s="515">
        <f>Aprēķini!AB$246+Aprēķini!AB$192*'Jutīguma analīze_IIA'!$B77</f>
        <v>10984.974948466221</v>
      </c>
      <c r="AD77" s="515">
        <f>Aprēķini!AC$246+Aprēķini!AC$192*'Jutīguma analīze_IIA'!$B77</f>
        <v>13406.378626433685</v>
      </c>
      <c r="AE77" s="515">
        <f>Aprēķini!AD$246+Aprēķini!AD$192*'Jutīguma analīze_IIA'!$B77</f>
        <v>28099.090746734568</v>
      </c>
      <c r="AF77" s="515">
        <f>Aprēķini!AE$246+Aprēķini!AE$192*'Jutīguma analīze_IIA'!$B77</f>
        <v>28023.685864194485</v>
      </c>
      <c r="AG77" s="515">
        <f>Aprēķini!AF$246+Aprēķini!AF$192*'Jutīguma analīze_IIA'!$B77</f>
        <v>18907.645375299631</v>
      </c>
      <c r="AH77" s="515">
        <f>Aprēķini!AG$246+Aprēķini!AG$192*'Jutīguma analīze_IIA'!$B77</f>
        <v>567491.19329313783</v>
      </c>
      <c r="AI77" s="515">
        <f>Aprēķini!AH$246+Aprēķini!AH$192*'Jutīguma analīze_IIA'!$B77</f>
        <v>18796.741210976019</v>
      </c>
    </row>
    <row r="78" spans="1:35" ht="12.75" x14ac:dyDescent="0.2">
      <c r="A78" s="639"/>
      <c r="B78" s="115">
        <v>0.05</v>
      </c>
      <c r="C78" s="515">
        <f>Aprēķini!B$246+Aprēķini!B$192*'Jutīguma analīze_IIA'!$B78</f>
        <v>28348.106000000003</v>
      </c>
      <c r="D78" s="515">
        <f>Aprēķini!C$246+Aprēķini!C$192*'Jutīguma analīze_IIA'!$B78</f>
        <v>15873.245542603128</v>
      </c>
      <c r="E78" s="515">
        <f>Aprēķini!D$246+Aprēķini!D$192*'Jutīguma analīze_IIA'!$B78</f>
        <v>27368.080933651017</v>
      </c>
      <c r="F78" s="515">
        <f>Aprēķini!E$246+Aprēķini!E$192*'Jutīguma analīze_IIA'!$B78</f>
        <v>8369.5376273348047</v>
      </c>
      <c r="G78" s="515">
        <f>Aprēķini!F$246+Aprēķini!F$192*'Jutīguma analīze_IIA'!$B78</f>
        <v>8248.8147016024377</v>
      </c>
      <c r="H78" s="515">
        <f>Aprēķini!G$246+Aprēķini!G$192*'Jutīguma analīze_IIA'!$B78</f>
        <v>8707.0373334866927</v>
      </c>
      <c r="I78" s="515">
        <f>Aprēķini!H$246+Aprēķini!H$192*'Jutīguma analīze_IIA'!$B78</f>
        <v>8670.8248514383376</v>
      </c>
      <c r="J78" s="515">
        <f>Aprēķini!I$246+Aprēķini!I$192*'Jutīguma analīze_IIA'!$B78</f>
        <v>8306.3555419794175</v>
      </c>
      <c r="K78" s="515">
        <f>Aprēķini!J$246+Aprēķini!J$192*'Jutīguma analīze_IIA'!$B78</f>
        <v>12455.249789607689</v>
      </c>
      <c r="L78" s="515">
        <f>Aprēķini!K$246+Aprēķini!K$192*'Jutīguma analīze_IIA'!$B78</f>
        <v>12787.196584693942</v>
      </c>
      <c r="M78" s="515">
        <f>Aprēķini!L$246+Aprēķini!L$192*'Jutīguma analīze_IIA'!$B78</f>
        <v>12641.786396778538</v>
      </c>
      <c r="N78" s="515">
        <f>Aprēķini!M$246+Aprēķini!M$192*'Jutīguma analīze_IIA'!$B78</f>
        <v>12843.228580862531</v>
      </c>
      <c r="O78" s="515">
        <f>Aprēķini!N$246+Aprēķini!N$192*'Jutīguma analīze_IIA'!$B78</f>
        <v>12696.247032400832</v>
      </c>
      <c r="P78" s="515">
        <f>Aprēķini!O$246+Aprēķini!O$192*'Jutīguma analīze_IIA'!$B78</f>
        <v>7798.0040648697177</v>
      </c>
      <c r="Q78" s="515">
        <f>Aprēķini!P$246+Aprēķini!P$192*'Jutīguma analīze_IIA'!$B78</f>
        <v>7755.6943053331925</v>
      </c>
      <c r="R78" s="515">
        <f>Aprēķini!Q$246+Aprēķini!Q$192*'Jutīguma analīze_IIA'!$B78</f>
        <v>10488.20352179373</v>
      </c>
      <c r="S78" s="515">
        <f>Aprēķini!R$246+Aprēķini!R$192*'Jutīguma analīze_IIA'!$B78</f>
        <v>8890.9908730052994</v>
      </c>
      <c r="T78" s="515">
        <f>Aprēķini!S$246+Aprēķini!S$192*'Jutīguma analīze_IIA'!$B78</f>
        <v>13252.913532016919</v>
      </c>
      <c r="U78" s="515">
        <f>Aprēķini!T$246+Aprēķini!T$192*'Jutīguma analīze_IIA'!$B78</f>
        <v>8557.3905053876806</v>
      </c>
      <c r="V78" s="515">
        <f>Aprēķini!U$246+Aprēķini!U$192*'Jutīguma analīze_IIA'!$B78</f>
        <v>8738.2283738516671</v>
      </c>
      <c r="W78" s="515">
        <f>Aprēķini!V$246+Aprēķini!V$192*'Jutīguma analīze_IIA'!$B78</f>
        <v>8441.4616863241536</v>
      </c>
      <c r="X78" s="515">
        <f>Aprēķini!W$246+Aprēķini!W$192*'Jutīguma analīze_IIA'!$B78</f>
        <v>8425.4471827884481</v>
      </c>
      <c r="Y78" s="515">
        <f>Aprēķini!X$246+Aprēķini!X$192*'Jutīguma analīze_IIA'!$B78</f>
        <v>11182.680294703361</v>
      </c>
      <c r="Z78" s="515">
        <f>Aprēķini!Y$246+Aprēķini!Y$192*'Jutīguma analīze_IIA'!$B78</f>
        <v>11166.665791168009</v>
      </c>
      <c r="AA78" s="515">
        <f>Aprēķini!Z$246+Aprēķini!Z$192*'Jutīguma analīze_IIA'!$B78</f>
        <v>10802.22755508656</v>
      </c>
      <c r="AB78" s="515">
        <f>Aprēķini!AA$246+Aprēķini!AA$192*'Jutīguma analīze_IIA'!$B78</f>
        <v>11133.065423550222</v>
      </c>
      <c r="AC78" s="515">
        <f>Aprēķini!AB$246+Aprēķini!AB$192*'Jutīguma analīze_IIA'!$B78</f>
        <v>10984.974948466221</v>
      </c>
      <c r="AD78" s="515">
        <f>Aprēķini!AC$246+Aprēķini!AC$192*'Jutīguma analīze_IIA'!$B78</f>
        <v>13406.378626433685</v>
      </c>
      <c r="AE78" s="515">
        <f>Aprēķini!AD$246+Aprēķini!AD$192*'Jutīguma analīze_IIA'!$B78</f>
        <v>28099.090746734568</v>
      </c>
      <c r="AF78" s="515">
        <f>Aprēķini!AE$246+Aprēķini!AE$192*'Jutīguma analīze_IIA'!$B78</f>
        <v>28023.685864194485</v>
      </c>
      <c r="AG78" s="515">
        <f>Aprēķini!AF$246+Aprēķini!AF$192*'Jutīguma analīze_IIA'!$B78</f>
        <v>18907.645375299631</v>
      </c>
      <c r="AH78" s="515">
        <f>Aprēķini!AG$246+Aprēķini!AG$192*'Jutīguma analīze_IIA'!$B78</f>
        <v>567491.19329313783</v>
      </c>
      <c r="AI78" s="515">
        <f>Aprēķini!AH$246+Aprēķini!AH$192*'Jutīguma analīze_IIA'!$B78</f>
        <v>18796.741210976019</v>
      </c>
    </row>
    <row r="79" spans="1:35" ht="12.75" x14ac:dyDescent="0.2">
      <c r="A79" s="639"/>
      <c r="B79" s="115">
        <v>2.5000000000000001E-2</v>
      </c>
      <c r="C79" s="515">
        <f>Aprēķini!B$246+Aprēķini!B$192*'Jutīguma analīze_IIA'!$B79</f>
        <v>13552.761</v>
      </c>
      <c r="D79" s="515">
        <f>Aprēķini!C$246+Aprēķini!C$192*'Jutīguma analīze_IIA'!$B79</f>
        <v>7115.2337926031296</v>
      </c>
      <c r="E79" s="515">
        <f>Aprēķini!D$246+Aprēķini!D$192*'Jutīguma analīze_IIA'!$B79</f>
        <v>14281.455933651017</v>
      </c>
      <c r="F79" s="515">
        <f>Aprēķini!E$246+Aprēķini!E$192*'Jutīguma analīze_IIA'!$B79</f>
        <v>8369.5376273348047</v>
      </c>
      <c r="G79" s="515">
        <f>Aprēķini!F$246+Aprēķini!F$192*'Jutīguma analīze_IIA'!$B79</f>
        <v>8248.8147016024377</v>
      </c>
      <c r="H79" s="515">
        <f>Aprēķini!G$246+Aprēķini!G$192*'Jutīguma analīze_IIA'!$B79</f>
        <v>8707.0373334866927</v>
      </c>
      <c r="I79" s="515">
        <f>Aprēķini!H$246+Aprēķini!H$192*'Jutīguma analīze_IIA'!$B79</f>
        <v>8670.8248514383376</v>
      </c>
      <c r="J79" s="515">
        <f>Aprēķini!I$246+Aprēķini!I$192*'Jutīguma analīze_IIA'!$B79</f>
        <v>8306.3555419794175</v>
      </c>
      <c r="K79" s="515">
        <f>Aprēķini!J$246+Aprēķini!J$192*'Jutīguma analīze_IIA'!$B79</f>
        <v>12455.249789607689</v>
      </c>
      <c r="L79" s="515">
        <f>Aprēķini!K$246+Aprēķini!K$192*'Jutīguma analīze_IIA'!$B79</f>
        <v>12787.196584693942</v>
      </c>
      <c r="M79" s="515">
        <f>Aprēķini!L$246+Aprēķini!L$192*'Jutīguma analīze_IIA'!$B79</f>
        <v>12641.786396778538</v>
      </c>
      <c r="N79" s="515">
        <f>Aprēķini!M$246+Aprēķini!M$192*'Jutīguma analīze_IIA'!$B79</f>
        <v>12843.228580862531</v>
      </c>
      <c r="O79" s="515">
        <f>Aprēķini!N$246+Aprēķini!N$192*'Jutīguma analīze_IIA'!$B79</f>
        <v>12696.247032400832</v>
      </c>
      <c r="P79" s="515">
        <f>Aprēķini!O$246+Aprēķini!O$192*'Jutīguma analīze_IIA'!$B79</f>
        <v>7798.0040648697177</v>
      </c>
      <c r="Q79" s="515">
        <f>Aprēķini!P$246+Aprēķini!P$192*'Jutīguma analīze_IIA'!$B79</f>
        <v>7755.6943053331925</v>
      </c>
      <c r="R79" s="515">
        <f>Aprēķini!Q$246+Aprēķini!Q$192*'Jutīguma analīze_IIA'!$B79</f>
        <v>10488.20352179373</v>
      </c>
      <c r="S79" s="515">
        <f>Aprēķini!R$246+Aprēķini!R$192*'Jutīguma analīze_IIA'!$B79</f>
        <v>8890.9908730052994</v>
      </c>
      <c r="T79" s="515">
        <f>Aprēķini!S$246+Aprēķini!S$192*'Jutīguma analīze_IIA'!$B79</f>
        <v>13252.913532016919</v>
      </c>
      <c r="U79" s="515">
        <f>Aprēķini!T$246+Aprēķini!T$192*'Jutīguma analīze_IIA'!$B79</f>
        <v>8557.3905053876806</v>
      </c>
      <c r="V79" s="515">
        <f>Aprēķini!U$246+Aprēķini!U$192*'Jutīguma analīze_IIA'!$B79</f>
        <v>8738.2283738516671</v>
      </c>
      <c r="W79" s="515">
        <f>Aprēķini!V$246+Aprēķini!V$192*'Jutīguma analīze_IIA'!$B79</f>
        <v>8441.4616863241536</v>
      </c>
      <c r="X79" s="515">
        <f>Aprēķini!W$246+Aprēķini!W$192*'Jutīguma analīze_IIA'!$B79</f>
        <v>8425.4471827884481</v>
      </c>
      <c r="Y79" s="515">
        <f>Aprēķini!X$246+Aprēķini!X$192*'Jutīguma analīze_IIA'!$B79</f>
        <v>11182.680294703361</v>
      </c>
      <c r="Z79" s="515">
        <f>Aprēķini!Y$246+Aprēķini!Y$192*'Jutīguma analīze_IIA'!$B79</f>
        <v>11166.665791168009</v>
      </c>
      <c r="AA79" s="515">
        <f>Aprēķini!Z$246+Aprēķini!Z$192*'Jutīguma analīze_IIA'!$B79</f>
        <v>10802.22755508656</v>
      </c>
      <c r="AB79" s="515">
        <f>Aprēķini!AA$246+Aprēķini!AA$192*'Jutīguma analīze_IIA'!$B79</f>
        <v>11133.065423550222</v>
      </c>
      <c r="AC79" s="515">
        <f>Aprēķini!AB$246+Aprēķini!AB$192*'Jutīguma analīze_IIA'!$B79</f>
        <v>10984.974948466221</v>
      </c>
      <c r="AD79" s="515">
        <f>Aprēķini!AC$246+Aprēķini!AC$192*'Jutīguma analīze_IIA'!$B79</f>
        <v>13406.378626433685</v>
      </c>
      <c r="AE79" s="515">
        <f>Aprēķini!AD$246+Aprēķini!AD$192*'Jutīguma analīze_IIA'!$B79</f>
        <v>28099.090746734568</v>
      </c>
      <c r="AF79" s="515">
        <f>Aprēķini!AE$246+Aprēķini!AE$192*'Jutīguma analīze_IIA'!$B79</f>
        <v>28023.685864194485</v>
      </c>
      <c r="AG79" s="515">
        <f>Aprēķini!AF$246+Aprēķini!AF$192*'Jutīguma analīze_IIA'!$B79</f>
        <v>18907.645375299631</v>
      </c>
      <c r="AH79" s="515">
        <f>Aprēķini!AG$246+Aprēķini!AG$192*'Jutīguma analīze_IIA'!$B79</f>
        <v>567491.19329313783</v>
      </c>
      <c r="AI79" s="515">
        <f>Aprēķini!AH$246+Aprēķini!AH$192*'Jutīguma analīze_IIA'!$B79</f>
        <v>18796.741210976019</v>
      </c>
    </row>
    <row r="80" spans="1:35" ht="12.75" x14ac:dyDescent="0.2">
      <c r="A80" s="639"/>
      <c r="B80" s="115">
        <v>0.01</v>
      </c>
      <c r="C80" s="515">
        <f>Aprēķini!B$246+Aprēķini!B$192*'Jutīguma analīze_IIA'!$B80</f>
        <v>4675.554000000001</v>
      </c>
      <c r="D80" s="515">
        <f>Aprēķini!C$246+Aprēķini!C$192*'Jutīguma analīze_IIA'!$B80</f>
        <v>1860.4267426031295</v>
      </c>
      <c r="E80" s="515">
        <f>Aprēķini!D$246+Aprēķini!D$192*'Jutīguma analīze_IIA'!$B80</f>
        <v>6429.480933651017</v>
      </c>
      <c r="F80" s="515">
        <f>Aprēķini!E$246+Aprēķini!E$192*'Jutīguma analīze_IIA'!$B80</f>
        <v>8369.5376273348047</v>
      </c>
      <c r="G80" s="515">
        <f>Aprēķini!F$246+Aprēķini!F$192*'Jutīguma analīze_IIA'!$B80</f>
        <v>8248.8147016024377</v>
      </c>
      <c r="H80" s="515">
        <f>Aprēķini!G$246+Aprēķini!G$192*'Jutīguma analīze_IIA'!$B80</f>
        <v>8707.0373334866927</v>
      </c>
      <c r="I80" s="515">
        <f>Aprēķini!H$246+Aprēķini!H$192*'Jutīguma analīze_IIA'!$B80</f>
        <v>8670.8248514383376</v>
      </c>
      <c r="J80" s="515">
        <f>Aprēķini!I$246+Aprēķini!I$192*'Jutīguma analīze_IIA'!$B80</f>
        <v>8306.3555419794175</v>
      </c>
      <c r="K80" s="515">
        <f>Aprēķini!J$246+Aprēķini!J$192*'Jutīguma analīze_IIA'!$B80</f>
        <v>12455.249789607689</v>
      </c>
      <c r="L80" s="515">
        <f>Aprēķini!K$246+Aprēķini!K$192*'Jutīguma analīze_IIA'!$B80</f>
        <v>12787.196584693942</v>
      </c>
      <c r="M80" s="515">
        <f>Aprēķini!L$246+Aprēķini!L$192*'Jutīguma analīze_IIA'!$B80</f>
        <v>12641.786396778538</v>
      </c>
      <c r="N80" s="515">
        <f>Aprēķini!M$246+Aprēķini!M$192*'Jutīguma analīze_IIA'!$B80</f>
        <v>12843.228580862531</v>
      </c>
      <c r="O80" s="515">
        <f>Aprēķini!N$246+Aprēķini!N$192*'Jutīguma analīze_IIA'!$B80</f>
        <v>12696.247032400832</v>
      </c>
      <c r="P80" s="515">
        <f>Aprēķini!O$246+Aprēķini!O$192*'Jutīguma analīze_IIA'!$B80</f>
        <v>7798.0040648697177</v>
      </c>
      <c r="Q80" s="515">
        <f>Aprēķini!P$246+Aprēķini!P$192*'Jutīguma analīze_IIA'!$B80</f>
        <v>7755.6943053331925</v>
      </c>
      <c r="R80" s="515">
        <f>Aprēķini!Q$246+Aprēķini!Q$192*'Jutīguma analīze_IIA'!$B80</f>
        <v>10488.20352179373</v>
      </c>
      <c r="S80" s="515">
        <f>Aprēķini!R$246+Aprēķini!R$192*'Jutīguma analīze_IIA'!$B80</f>
        <v>8890.9908730052994</v>
      </c>
      <c r="T80" s="515">
        <f>Aprēķini!S$246+Aprēķini!S$192*'Jutīguma analīze_IIA'!$B80</f>
        <v>13252.913532016919</v>
      </c>
      <c r="U80" s="515">
        <f>Aprēķini!T$246+Aprēķini!T$192*'Jutīguma analīze_IIA'!$B80</f>
        <v>8557.3905053876806</v>
      </c>
      <c r="V80" s="515">
        <f>Aprēķini!U$246+Aprēķini!U$192*'Jutīguma analīze_IIA'!$B80</f>
        <v>8738.2283738516671</v>
      </c>
      <c r="W80" s="515">
        <f>Aprēķini!V$246+Aprēķini!V$192*'Jutīguma analīze_IIA'!$B80</f>
        <v>8441.4616863241536</v>
      </c>
      <c r="X80" s="515">
        <f>Aprēķini!W$246+Aprēķini!W$192*'Jutīguma analīze_IIA'!$B80</f>
        <v>8425.4471827884481</v>
      </c>
      <c r="Y80" s="515">
        <f>Aprēķini!X$246+Aprēķini!X$192*'Jutīguma analīze_IIA'!$B80</f>
        <v>11182.680294703361</v>
      </c>
      <c r="Z80" s="515">
        <f>Aprēķini!Y$246+Aprēķini!Y$192*'Jutīguma analīze_IIA'!$B80</f>
        <v>11166.665791168009</v>
      </c>
      <c r="AA80" s="515">
        <f>Aprēķini!Z$246+Aprēķini!Z$192*'Jutīguma analīze_IIA'!$B80</f>
        <v>10802.22755508656</v>
      </c>
      <c r="AB80" s="515">
        <f>Aprēķini!AA$246+Aprēķini!AA$192*'Jutīguma analīze_IIA'!$B80</f>
        <v>11133.065423550222</v>
      </c>
      <c r="AC80" s="515">
        <f>Aprēķini!AB$246+Aprēķini!AB$192*'Jutīguma analīze_IIA'!$B80</f>
        <v>10984.974948466221</v>
      </c>
      <c r="AD80" s="515">
        <f>Aprēķini!AC$246+Aprēķini!AC$192*'Jutīguma analīze_IIA'!$B80</f>
        <v>13406.378626433685</v>
      </c>
      <c r="AE80" s="515">
        <f>Aprēķini!AD$246+Aprēķini!AD$192*'Jutīguma analīze_IIA'!$B80</f>
        <v>28099.090746734568</v>
      </c>
      <c r="AF80" s="515">
        <f>Aprēķini!AE$246+Aprēķini!AE$192*'Jutīguma analīze_IIA'!$B80</f>
        <v>28023.685864194485</v>
      </c>
      <c r="AG80" s="515">
        <f>Aprēķini!AF$246+Aprēķini!AF$192*'Jutīguma analīze_IIA'!$B80</f>
        <v>18907.645375299631</v>
      </c>
      <c r="AH80" s="515">
        <f>Aprēķini!AG$246+Aprēķini!AG$192*'Jutīguma analīze_IIA'!$B80</f>
        <v>567491.19329313783</v>
      </c>
      <c r="AI80" s="515">
        <f>Aprēķini!AH$246+Aprēķini!AH$192*'Jutīguma analīze_IIA'!$B80</f>
        <v>18796.741210976019</v>
      </c>
    </row>
    <row r="81" spans="1:35" ht="12.75" x14ac:dyDescent="0.2">
      <c r="A81" s="639"/>
      <c r="B81" s="116">
        <v>0</v>
      </c>
      <c r="C81" s="583">
        <f>Aprēķini!B$246+Aprēķini!B$192*'Jutīguma analīze_IIA'!$B81</f>
        <v>-1242.5840000000001</v>
      </c>
      <c r="D81" s="583">
        <f>Aprēķini!C$246+Aprēķini!C$192*'Jutīguma analīze_IIA'!$B81</f>
        <v>-1642.7779573968703</v>
      </c>
      <c r="E81" s="583">
        <f>Aprēķini!D$246+Aprēķini!D$192*'Jutīguma analīze_IIA'!$B81</f>
        <v>1194.8309336510165</v>
      </c>
      <c r="F81" s="583">
        <f>Aprēķini!E$246+Aprēķini!E$192*'Jutīguma analīze_IIA'!$B81</f>
        <v>8369.5376273348047</v>
      </c>
      <c r="G81" s="583">
        <f>Aprēķini!F$246+Aprēķini!F$192*'Jutīguma analīze_IIA'!$B81</f>
        <v>8248.8147016024377</v>
      </c>
      <c r="H81" s="583">
        <f>Aprēķini!G$246+Aprēķini!G$192*'Jutīguma analīze_IIA'!$B81</f>
        <v>8707.0373334866927</v>
      </c>
      <c r="I81" s="583">
        <f>Aprēķini!H$246+Aprēķini!H$192*'Jutīguma analīze_IIA'!$B81</f>
        <v>8670.8248514383376</v>
      </c>
      <c r="J81" s="583">
        <f>Aprēķini!I$246+Aprēķini!I$192*'Jutīguma analīze_IIA'!$B81</f>
        <v>8306.3555419794175</v>
      </c>
      <c r="K81" s="583">
        <f>Aprēķini!J$246+Aprēķini!J$192*'Jutīguma analīze_IIA'!$B81</f>
        <v>12455.249789607689</v>
      </c>
      <c r="L81" s="583">
        <f>Aprēķini!K$246+Aprēķini!K$192*'Jutīguma analīze_IIA'!$B81</f>
        <v>12787.196584693942</v>
      </c>
      <c r="M81" s="583">
        <f>Aprēķini!L$246+Aprēķini!L$192*'Jutīguma analīze_IIA'!$B81</f>
        <v>12641.786396778538</v>
      </c>
      <c r="N81" s="583">
        <f>Aprēķini!M$246+Aprēķini!M$192*'Jutīguma analīze_IIA'!$B81</f>
        <v>12843.228580862531</v>
      </c>
      <c r="O81" s="583">
        <f>Aprēķini!N$246+Aprēķini!N$192*'Jutīguma analīze_IIA'!$B81</f>
        <v>12696.247032400832</v>
      </c>
      <c r="P81" s="583">
        <f>Aprēķini!O$246+Aprēķini!O$192*'Jutīguma analīze_IIA'!$B81</f>
        <v>7798.0040648697177</v>
      </c>
      <c r="Q81" s="583">
        <f>Aprēķini!P$246+Aprēķini!P$192*'Jutīguma analīze_IIA'!$B81</f>
        <v>7755.6943053331925</v>
      </c>
      <c r="R81" s="583">
        <f>Aprēķini!Q$246+Aprēķini!Q$192*'Jutīguma analīze_IIA'!$B81</f>
        <v>10488.20352179373</v>
      </c>
      <c r="S81" s="583">
        <f>Aprēķini!R$246+Aprēķini!R$192*'Jutīguma analīze_IIA'!$B81</f>
        <v>8890.9908730052994</v>
      </c>
      <c r="T81" s="583">
        <f>Aprēķini!S$246+Aprēķini!S$192*'Jutīguma analīze_IIA'!$B81</f>
        <v>13252.913532016919</v>
      </c>
      <c r="U81" s="583">
        <f>Aprēķini!T$246+Aprēķini!T$192*'Jutīguma analīze_IIA'!$B81</f>
        <v>8557.3905053876806</v>
      </c>
      <c r="V81" s="583">
        <f>Aprēķini!U$246+Aprēķini!U$192*'Jutīguma analīze_IIA'!$B81</f>
        <v>8738.2283738516671</v>
      </c>
      <c r="W81" s="583">
        <f>Aprēķini!V$246+Aprēķini!V$192*'Jutīguma analīze_IIA'!$B81</f>
        <v>8441.4616863241536</v>
      </c>
      <c r="X81" s="583">
        <f>Aprēķini!W$246+Aprēķini!W$192*'Jutīguma analīze_IIA'!$B81</f>
        <v>8425.4471827884481</v>
      </c>
      <c r="Y81" s="583">
        <f>Aprēķini!X$246+Aprēķini!X$192*'Jutīguma analīze_IIA'!$B81</f>
        <v>11182.680294703361</v>
      </c>
      <c r="Z81" s="583">
        <f>Aprēķini!Y$246+Aprēķini!Y$192*'Jutīguma analīze_IIA'!$B81</f>
        <v>11166.665791168009</v>
      </c>
      <c r="AA81" s="583">
        <f>Aprēķini!Z$246+Aprēķini!Z$192*'Jutīguma analīze_IIA'!$B81</f>
        <v>10802.22755508656</v>
      </c>
      <c r="AB81" s="583">
        <f>Aprēķini!AA$246+Aprēķini!AA$192*'Jutīguma analīze_IIA'!$B81</f>
        <v>11133.065423550222</v>
      </c>
      <c r="AC81" s="583">
        <f>Aprēķini!AB$246+Aprēķini!AB$192*'Jutīguma analīze_IIA'!$B81</f>
        <v>10984.974948466221</v>
      </c>
      <c r="AD81" s="583">
        <f>Aprēķini!AC$246+Aprēķini!AC$192*'Jutīguma analīze_IIA'!$B81</f>
        <v>13406.378626433685</v>
      </c>
      <c r="AE81" s="583">
        <f>Aprēķini!AD$246+Aprēķini!AD$192*'Jutīguma analīze_IIA'!$B81</f>
        <v>28099.090746734568</v>
      </c>
      <c r="AF81" s="583">
        <f>Aprēķini!AE$246+Aprēķini!AE$192*'Jutīguma analīze_IIA'!$B81</f>
        <v>28023.685864194485</v>
      </c>
      <c r="AG81" s="583">
        <f>Aprēķini!AF$246+Aprēķini!AF$192*'Jutīguma analīze_IIA'!$B81</f>
        <v>18907.645375299631</v>
      </c>
      <c r="AH81" s="583">
        <f>Aprēķini!AG$246+Aprēķini!AG$192*'Jutīguma analīze_IIA'!$B81</f>
        <v>567491.19329313783</v>
      </c>
      <c r="AI81" s="583">
        <f>Aprēķini!AH$246+Aprēķini!AH$192*'Jutīguma analīze_IIA'!$B81</f>
        <v>18796.741210976019</v>
      </c>
    </row>
    <row r="82" spans="1:35" ht="12.75" x14ac:dyDescent="0.2">
      <c r="A82" s="639"/>
      <c r="B82" s="115">
        <v>-0.01</v>
      </c>
      <c r="C82" s="515">
        <f>Aprēķini!B$246+Aprēķini!B$192*'Jutīguma analīze_IIA'!$B82</f>
        <v>-7160.7220000000007</v>
      </c>
      <c r="D82" s="515">
        <f>Aprēķini!C$246+Aprēķini!C$192*'Jutīguma analīze_IIA'!$B82</f>
        <v>-5145.9826573968703</v>
      </c>
      <c r="E82" s="515">
        <f>Aprēķini!D$246+Aprēķini!D$192*'Jutīguma analīze_IIA'!$B82</f>
        <v>-4039.8190663489841</v>
      </c>
      <c r="F82" s="515">
        <f>Aprēķini!E$246+Aprēķini!E$192*'Jutīguma analīze_IIA'!$B82</f>
        <v>8369.5376273348047</v>
      </c>
      <c r="G82" s="515">
        <f>Aprēķini!F$246+Aprēķini!F$192*'Jutīguma analīze_IIA'!$B82</f>
        <v>8248.8147016024377</v>
      </c>
      <c r="H82" s="515">
        <f>Aprēķini!G$246+Aprēķini!G$192*'Jutīguma analīze_IIA'!$B82</f>
        <v>8707.0373334866927</v>
      </c>
      <c r="I82" s="515">
        <f>Aprēķini!H$246+Aprēķini!H$192*'Jutīguma analīze_IIA'!$B82</f>
        <v>8670.8248514383376</v>
      </c>
      <c r="J82" s="515">
        <f>Aprēķini!I$246+Aprēķini!I$192*'Jutīguma analīze_IIA'!$B82</f>
        <v>8306.3555419794175</v>
      </c>
      <c r="K82" s="515">
        <f>Aprēķini!J$246+Aprēķini!J$192*'Jutīguma analīze_IIA'!$B82</f>
        <v>12455.249789607689</v>
      </c>
      <c r="L82" s="515">
        <f>Aprēķini!K$246+Aprēķini!K$192*'Jutīguma analīze_IIA'!$B82</f>
        <v>12787.196584693942</v>
      </c>
      <c r="M82" s="515">
        <f>Aprēķini!L$246+Aprēķini!L$192*'Jutīguma analīze_IIA'!$B82</f>
        <v>12641.786396778538</v>
      </c>
      <c r="N82" s="515">
        <f>Aprēķini!M$246+Aprēķini!M$192*'Jutīguma analīze_IIA'!$B82</f>
        <v>12843.228580862531</v>
      </c>
      <c r="O82" s="515">
        <f>Aprēķini!N$246+Aprēķini!N$192*'Jutīguma analīze_IIA'!$B82</f>
        <v>12696.247032400832</v>
      </c>
      <c r="P82" s="515">
        <f>Aprēķini!O$246+Aprēķini!O$192*'Jutīguma analīze_IIA'!$B82</f>
        <v>7798.0040648697177</v>
      </c>
      <c r="Q82" s="515">
        <f>Aprēķini!P$246+Aprēķini!P$192*'Jutīguma analīze_IIA'!$B82</f>
        <v>7755.6943053331925</v>
      </c>
      <c r="R82" s="515">
        <f>Aprēķini!Q$246+Aprēķini!Q$192*'Jutīguma analīze_IIA'!$B82</f>
        <v>10488.20352179373</v>
      </c>
      <c r="S82" s="515">
        <f>Aprēķini!R$246+Aprēķini!R$192*'Jutīguma analīze_IIA'!$B82</f>
        <v>8890.9908730052994</v>
      </c>
      <c r="T82" s="515">
        <f>Aprēķini!S$246+Aprēķini!S$192*'Jutīguma analīze_IIA'!$B82</f>
        <v>13252.913532016919</v>
      </c>
      <c r="U82" s="515">
        <f>Aprēķini!T$246+Aprēķini!T$192*'Jutīguma analīze_IIA'!$B82</f>
        <v>8557.3905053876806</v>
      </c>
      <c r="V82" s="515">
        <f>Aprēķini!U$246+Aprēķini!U$192*'Jutīguma analīze_IIA'!$B82</f>
        <v>8738.2283738516671</v>
      </c>
      <c r="W82" s="515">
        <f>Aprēķini!V$246+Aprēķini!V$192*'Jutīguma analīze_IIA'!$B82</f>
        <v>8441.4616863241536</v>
      </c>
      <c r="X82" s="515">
        <f>Aprēķini!W$246+Aprēķini!W$192*'Jutīguma analīze_IIA'!$B82</f>
        <v>8425.4471827884481</v>
      </c>
      <c r="Y82" s="515">
        <f>Aprēķini!X$246+Aprēķini!X$192*'Jutīguma analīze_IIA'!$B82</f>
        <v>11182.680294703361</v>
      </c>
      <c r="Z82" s="515">
        <f>Aprēķini!Y$246+Aprēķini!Y$192*'Jutīguma analīze_IIA'!$B82</f>
        <v>11166.665791168009</v>
      </c>
      <c r="AA82" s="515">
        <f>Aprēķini!Z$246+Aprēķini!Z$192*'Jutīguma analīze_IIA'!$B82</f>
        <v>10802.22755508656</v>
      </c>
      <c r="AB82" s="515">
        <f>Aprēķini!AA$246+Aprēķini!AA$192*'Jutīguma analīze_IIA'!$B82</f>
        <v>11133.065423550222</v>
      </c>
      <c r="AC82" s="515">
        <f>Aprēķini!AB$246+Aprēķini!AB$192*'Jutīguma analīze_IIA'!$B82</f>
        <v>10984.974948466221</v>
      </c>
      <c r="AD82" s="515">
        <f>Aprēķini!AC$246+Aprēķini!AC$192*'Jutīguma analīze_IIA'!$B82</f>
        <v>13406.378626433685</v>
      </c>
      <c r="AE82" s="515">
        <f>Aprēķini!AD$246+Aprēķini!AD$192*'Jutīguma analīze_IIA'!$B82</f>
        <v>28099.090746734568</v>
      </c>
      <c r="AF82" s="515">
        <f>Aprēķini!AE$246+Aprēķini!AE$192*'Jutīguma analīze_IIA'!$B82</f>
        <v>28023.685864194485</v>
      </c>
      <c r="AG82" s="515">
        <f>Aprēķini!AF$246+Aprēķini!AF$192*'Jutīguma analīze_IIA'!$B82</f>
        <v>18907.645375299631</v>
      </c>
      <c r="AH82" s="515">
        <f>Aprēķini!AG$246+Aprēķini!AG$192*'Jutīguma analīze_IIA'!$B82</f>
        <v>567491.19329313783</v>
      </c>
      <c r="AI82" s="515">
        <f>Aprēķini!AH$246+Aprēķini!AH$192*'Jutīguma analīze_IIA'!$B82</f>
        <v>18796.741210976019</v>
      </c>
    </row>
    <row r="83" spans="1:35" ht="12.75" x14ac:dyDescent="0.2">
      <c r="A83" s="639"/>
      <c r="B83" s="115">
        <v>-2.5000000000000001E-2</v>
      </c>
      <c r="C83" s="515">
        <f>Aprēķini!B$246+Aprēķini!B$192*'Jutīguma analīze_IIA'!$B83</f>
        <v>-16037.929000000002</v>
      </c>
      <c r="D83" s="515">
        <f>Aprēķini!C$246+Aprēķini!C$192*'Jutīguma analīze_IIA'!$B83</f>
        <v>-10400.789707396871</v>
      </c>
      <c r="E83" s="515">
        <f>Aprēķini!D$246+Aprēķini!D$192*'Jutīguma analīze_IIA'!$B83</f>
        <v>-11891.794066348983</v>
      </c>
      <c r="F83" s="515">
        <f>Aprēķini!E$246+Aprēķini!E$192*'Jutīguma analīze_IIA'!$B83</f>
        <v>8369.5376273348047</v>
      </c>
      <c r="G83" s="515">
        <f>Aprēķini!F$246+Aprēķini!F$192*'Jutīguma analīze_IIA'!$B83</f>
        <v>8248.8147016024377</v>
      </c>
      <c r="H83" s="515">
        <f>Aprēķini!G$246+Aprēķini!G$192*'Jutīguma analīze_IIA'!$B83</f>
        <v>8707.0373334866927</v>
      </c>
      <c r="I83" s="515">
        <f>Aprēķini!H$246+Aprēķini!H$192*'Jutīguma analīze_IIA'!$B83</f>
        <v>8670.8248514383376</v>
      </c>
      <c r="J83" s="515">
        <f>Aprēķini!I$246+Aprēķini!I$192*'Jutīguma analīze_IIA'!$B83</f>
        <v>8306.3555419794175</v>
      </c>
      <c r="K83" s="515">
        <f>Aprēķini!J$246+Aprēķini!J$192*'Jutīguma analīze_IIA'!$B83</f>
        <v>12455.249789607689</v>
      </c>
      <c r="L83" s="515">
        <f>Aprēķini!K$246+Aprēķini!K$192*'Jutīguma analīze_IIA'!$B83</f>
        <v>12787.196584693942</v>
      </c>
      <c r="M83" s="515">
        <f>Aprēķini!L$246+Aprēķini!L$192*'Jutīguma analīze_IIA'!$B83</f>
        <v>12641.786396778538</v>
      </c>
      <c r="N83" s="515">
        <f>Aprēķini!M$246+Aprēķini!M$192*'Jutīguma analīze_IIA'!$B83</f>
        <v>12843.228580862531</v>
      </c>
      <c r="O83" s="515">
        <f>Aprēķini!N$246+Aprēķini!N$192*'Jutīguma analīze_IIA'!$B83</f>
        <v>12696.247032400832</v>
      </c>
      <c r="P83" s="515">
        <f>Aprēķini!O$246+Aprēķini!O$192*'Jutīguma analīze_IIA'!$B83</f>
        <v>7798.0040648697177</v>
      </c>
      <c r="Q83" s="515">
        <f>Aprēķini!P$246+Aprēķini!P$192*'Jutīguma analīze_IIA'!$B83</f>
        <v>7755.6943053331925</v>
      </c>
      <c r="R83" s="515">
        <f>Aprēķini!Q$246+Aprēķini!Q$192*'Jutīguma analīze_IIA'!$B83</f>
        <v>10488.20352179373</v>
      </c>
      <c r="S83" s="515">
        <f>Aprēķini!R$246+Aprēķini!R$192*'Jutīguma analīze_IIA'!$B83</f>
        <v>8890.9908730052994</v>
      </c>
      <c r="T83" s="515">
        <f>Aprēķini!S$246+Aprēķini!S$192*'Jutīguma analīze_IIA'!$B83</f>
        <v>13252.913532016919</v>
      </c>
      <c r="U83" s="515">
        <f>Aprēķini!T$246+Aprēķini!T$192*'Jutīguma analīze_IIA'!$B83</f>
        <v>8557.3905053876806</v>
      </c>
      <c r="V83" s="515">
        <f>Aprēķini!U$246+Aprēķini!U$192*'Jutīguma analīze_IIA'!$B83</f>
        <v>8738.2283738516671</v>
      </c>
      <c r="W83" s="515">
        <f>Aprēķini!V$246+Aprēķini!V$192*'Jutīguma analīze_IIA'!$B83</f>
        <v>8441.4616863241536</v>
      </c>
      <c r="X83" s="515">
        <f>Aprēķini!W$246+Aprēķini!W$192*'Jutīguma analīze_IIA'!$B83</f>
        <v>8425.4471827884481</v>
      </c>
      <c r="Y83" s="515">
        <f>Aprēķini!X$246+Aprēķini!X$192*'Jutīguma analīze_IIA'!$B83</f>
        <v>11182.680294703361</v>
      </c>
      <c r="Z83" s="515">
        <f>Aprēķini!Y$246+Aprēķini!Y$192*'Jutīguma analīze_IIA'!$B83</f>
        <v>11166.665791168009</v>
      </c>
      <c r="AA83" s="515">
        <f>Aprēķini!Z$246+Aprēķini!Z$192*'Jutīguma analīze_IIA'!$B83</f>
        <v>10802.22755508656</v>
      </c>
      <c r="AB83" s="515">
        <f>Aprēķini!AA$246+Aprēķini!AA$192*'Jutīguma analīze_IIA'!$B83</f>
        <v>11133.065423550222</v>
      </c>
      <c r="AC83" s="515">
        <f>Aprēķini!AB$246+Aprēķini!AB$192*'Jutīguma analīze_IIA'!$B83</f>
        <v>10984.974948466221</v>
      </c>
      <c r="AD83" s="515">
        <f>Aprēķini!AC$246+Aprēķini!AC$192*'Jutīguma analīze_IIA'!$B83</f>
        <v>13406.378626433685</v>
      </c>
      <c r="AE83" s="515">
        <f>Aprēķini!AD$246+Aprēķini!AD$192*'Jutīguma analīze_IIA'!$B83</f>
        <v>28099.090746734568</v>
      </c>
      <c r="AF83" s="515">
        <f>Aprēķini!AE$246+Aprēķini!AE$192*'Jutīguma analīze_IIA'!$B83</f>
        <v>28023.685864194485</v>
      </c>
      <c r="AG83" s="515">
        <f>Aprēķini!AF$246+Aprēķini!AF$192*'Jutīguma analīze_IIA'!$B83</f>
        <v>18907.645375299631</v>
      </c>
      <c r="AH83" s="515">
        <f>Aprēķini!AG$246+Aprēķini!AG$192*'Jutīguma analīze_IIA'!$B83</f>
        <v>567491.19329313783</v>
      </c>
      <c r="AI83" s="515">
        <f>Aprēķini!AH$246+Aprēķini!AH$192*'Jutīguma analīze_IIA'!$B83</f>
        <v>18796.741210976019</v>
      </c>
    </row>
    <row r="84" spans="1:35" ht="12.75" x14ac:dyDescent="0.2">
      <c r="A84" s="639"/>
      <c r="B84" s="115">
        <v>-0.05</v>
      </c>
      <c r="C84" s="515">
        <f>Aprēķini!B$246+Aprēķini!B$192*'Jutīguma analīze_IIA'!$B84</f>
        <v>-30833.274000000001</v>
      </c>
      <c r="D84" s="515">
        <f>Aprēķini!C$246+Aprēķini!C$192*'Jutīguma analīze_IIA'!$B84</f>
        <v>-19158.801457396868</v>
      </c>
      <c r="E84" s="515">
        <f>Aprēķini!D$246+Aprēķini!D$192*'Jutīguma analīze_IIA'!$B84</f>
        <v>-24978.419066348983</v>
      </c>
      <c r="F84" s="515">
        <f>Aprēķini!E$246+Aprēķini!E$192*'Jutīguma analīze_IIA'!$B84</f>
        <v>8369.5376273348047</v>
      </c>
      <c r="G84" s="515">
        <f>Aprēķini!F$246+Aprēķini!F$192*'Jutīguma analīze_IIA'!$B84</f>
        <v>8248.8147016024377</v>
      </c>
      <c r="H84" s="515">
        <f>Aprēķini!G$246+Aprēķini!G$192*'Jutīguma analīze_IIA'!$B84</f>
        <v>8707.0373334866927</v>
      </c>
      <c r="I84" s="515">
        <f>Aprēķini!H$246+Aprēķini!H$192*'Jutīguma analīze_IIA'!$B84</f>
        <v>8670.8248514383376</v>
      </c>
      <c r="J84" s="515">
        <f>Aprēķini!I$246+Aprēķini!I$192*'Jutīguma analīze_IIA'!$B84</f>
        <v>8306.3555419794175</v>
      </c>
      <c r="K84" s="515">
        <f>Aprēķini!J$246+Aprēķini!J$192*'Jutīguma analīze_IIA'!$B84</f>
        <v>12455.249789607689</v>
      </c>
      <c r="L84" s="515">
        <f>Aprēķini!K$246+Aprēķini!K$192*'Jutīguma analīze_IIA'!$B84</f>
        <v>12787.196584693942</v>
      </c>
      <c r="M84" s="515">
        <f>Aprēķini!L$246+Aprēķini!L$192*'Jutīguma analīze_IIA'!$B84</f>
        <v>12641.786396778538</v>
      </c>
      <c r="N84" s="515">
        <f>Aprēķini!M$246+Aprēķini!M$192*'Jutīguma analīze_IIA'!$B84</f>
        <v>12843.228580862531</v>
      </c>
      <c r="O84" s="515">
        <f>Aprēķini!N$246+Aprēķini!N$192*'Jutīguma analīze_IIA'!$B84</f>
        <v>12696.247032400832</v>
      </c>
      <c r="P84" s="515">
        <f>Aprēķini!O$246+Aprēķini!O$192*'Jutīguma analīze_IIA'!$B84</f>
        <v>7798.0040648697177</v>
      </c>
      <c r="Q84" s="515">
        <f>Aprēķini!P$246+Aprēķini!P$192*'Jutīguma analīze_IIA'!$B84</f>
        <v>7755.6943053331925</v>
      </c>
      <c r="R84" s="515">
        <f>Aprēķini!Q$246+Aprēķini!Q$192*'Jutīguma analīze_IIA'!$B84</f>
        <v>10488.20352179373</v>
      </c>
      <c r="S84" s="515">
        <f>Aprēķini!R$246+Aprēķini!R$192*'Jutīguma analīze_IIA'!$B84</f>
        <v>8890.9908730052994</v>
      </c>
      <c r="T84" s="515">
        <f>Aprēķini!S$246+Aprēķini!S$192*'Jutīguma analīze_IIA'!$B84</f>
        <v>13252.913532016919</v>
      </c>
      <c r="U84" s="515">
        <f>Aprēķini!T$246+Aprēķini!T$192*'Jutīguma analīze_IIA'!$B84</f>
        <v>8557.3905053876806</v>
      </c>
      <c r="V84" s="515">
        <f>Aprēķini!U$246+Aprēķini!U$192*'Jutīguma analīze_IIA'!$B84</f>
        <v>8738.2283738516671</v>
      </c>
      <c r="W84" s="515">
        <f>Aprēķini!V$246+Aprēķini!V$192*'Jutīguma analīze_IIA'!$B84</f>
        <v>8441.4616863241536</v>
      </c>
      <c r="X84" s="515">
        <f>Aprēķini!W$246+Aprēķini!W$192*'Jutīguma analīze_IIA'!$B84</f>
        <v>8425.4471827884481</v>
      </c>
      <c r="Y84" s="515">
        <f>Aprēķini!X$246+Aprēķini!X$192*'Jutīguma analīze_IIA'!$B84</f>
        <v>11182.680294703361</v>
      </c>
      <c r="Z84" s="515">
        <f>Aprēķini!Y$246+Aprēķini!Y$192*'Jutīguma analīze_IIA'!$B84</f>
        <v>11166.665791168009</v>
      </c>
      <c r="AA84" s="515">
        <f>Aprēķini!Z$246+Aprēķini!Z$192*'Jutīguma analīze_IIA'!$B84</f>
        <v>10802.22755508656</v>
      </c>
      <c r="AB84" s="515">
        <f>Aprēķini!AA$246+Aprēķini!AA$192*'Jutīguma analīze_IIA'!$B84</f>
        <v>11133.065423550222</v>
      </c>
      <c r="AC84" s="515">
        <f>Aprēķini!AB$246+Aprēķini!AB$192*'Jutīguma analīze_IIA'!$B84</f>
        <v>10984.974948466221</v>
      </c>
      <c r="AD84" s="515">
        <f>Aprēķini!AC$246+Aprēķini!AC$192*'Jutīguma analīze_IIA'!$B84</f>
        <v>13406.378626433685</v>
      </c>
      <c r="AE84" s="515">
        <f>Aprēķini!AD$246+Aprēķini!AD$192*'Jutīguma analīze_IIA'!$B84</f>
        <v>28099.090746734568</v>
      </c>
      <c r="AF84" s="515">
        <f>Aprēķini!AE$246+Aprēķini!AE$192*'Jutīguma analīze_IIA'!$B84</f>
        <v>28023.685864194485</v>
      </c>
      <c r="AG84" s="515">
        <f>Aprēķini!AF$246+Aprēķini!AF$192*'Jutīguma analīze_IIA'!$B84</f>
        <v>18907.645375299631</v>
      </c>
      <c r="AH84" s="515">
        <f>Aprēķini!AG$246+Aprēķini!AG$192*'Jutīguma analīze_IIA'!$B84</f>
        <v>567491.19329313783</v>
      </c>
      <c r="AI84" s="515">
        <f>Aprēķini!AH$246+Aprēķini!AH$192*'Jutīguma analīze_IIA'!$B84</f>
        <v>18796.741210976019</v>
      </c>
    </row>
    <row r="85" spans="1:35" ht="12.75" x14ac:dyDescent="0.2">
      <c r="A85" s="639"/>
      <c r="B85" s="115">
        <v>-7.4999999999999997E-2</v>
      </c>
      <c r="C85" s="515">
        <f>Aprēķini!B$246+Aprēķini!B$192*'Jutīguma analīze_IIA'!$B85</f>
        <v>-45628.619000000006</v>
      </c>
      <c r="D85" s="515">
        <f>Aprēķini!C$246+Aprēķini!C$192*'Jutīguma analīze_IIA'!$B85</f>
        <v>-27916.813207396866</v>
      </c>
      <c r="E85" s="515">
        <f>Aprēķini!D$246+Aprēķini!D$192*'Jutīguma analīze_IIA'!$B85</f>
        <v>-38065.044066348986</v>
      </c>
      <c r="F85" s="515">
        <f>Aprēķini!E$246+Aprēķini!E$192*'Jutīguma analīze_IIA'!$B85</f>
        <v>8369.5376273348047</v>
      </c>
      <c r="G85" s="515">
        <f>Aprēķini!F$246+Aprēķini!F$192*'Jutīguma analīze_IIA'!$B85</f>
        <v>8248.8147016024377</v>
      </c>
      <c r="H85" s="515">
        <f>Aprēķini!G$246+Aprēķini!G$192*'Jutīguma analīze_IIA'!$B85</f>
        <v>8707.0373334866927</v>
      </c>
      <c r="I85" s="515">
        <f>Aprēķini!H$246+Aprēķini!H$192*'Jutīguma analīze_IIA'!$B85</f>
        <v>8670.8248514383376</v>
      </c>
      <c r="J85" s="515">
        <f>Aprēķini!I$246+Aprēķini!I$192*'Jutīguma analīze_IIA'!$B85</f>
        <v>8306.3555419794175</v>
      </c>
      <c r="K85" s="515">
        <f>Aprēķini!J$246+Aprēķini!J$192*'Jutīguma analīze_IIA'!$B85</f>
        <v>12455.249789607689</v>
      </c>
      <c r="L85" s="515">
        <f>Aprēķini!K$246+Aprēķini!K$192*'Jutīguma analīze_IIA'!$B85</f>
        <v>12787.196584693942</v>
      </c>
      <c r="M85" s="515">
        <f>Aprēķini!L$246+Aprēķini!L$192*'Jutīguma analīze_IIA'!$B85</f>
        <v>12641.786396778538</v>
      </c>
      <c r="N85" s="515">
        <f>Aprēķini!M$246+Aprēķini!M$192*'Jutīguma analīze_IIA'!$B85</f>
        <v>12843.228580862531</v>
      </c>
      <c r="O85" s="515">
        <f>Aprēķini!N$246+Aprēķini!N$192*'Jutīguma analīze_IIA'!$B85</f>
        <v>12696.247032400832</v>
      </c>
      <c r="P85" s="515">
        <f>Aprēķini!O$246+Aprēķini!O$192*'Jutīguma analīze_IIA'!$B85</f>
        <v>7798.0040648697177</v>
      </c>
      <c r="Q85" s="515">
        <f>Aprēķini!P$246+Aprēķini!P$192*'Jutīguma analīze_IIA'!$B85</f>
        <v>7755.6943053331925</v>
      </c>
      <c r="R85" s="515">
        <f>Aprēķini!Q$246+Aprēķini!Q$192*'Jutīguma analīze_IIA'!$B85</f>
        <v>10488.20352179373</v>
      </c>
      <c r="S85" s="515">
        <f>Aprēķini!R$246+Aprēķini!R$192*'Jutīguma analīze_IIA'!$B85</f>
        <v>8890.9908730052994</v>
      </c>
      <c r="T85" s="515">
        <f>Aprēķini!S$246+Aprēķini!S$192*'Jutīguma analīze_IIA'!$B85</f>
        <v>13252.913532016919</v>
      </c>
      <c r="U85" s="515">
        <f>Aprēķini!T$246+Aprēķini!T$192*'Jutīguma analīze_IIA'!$B85</f>
        <v>8557.3905053876806</v>
      </c>
      <c r="V85" s="515">
        <f>Aprēķini!U$246+Aprēķini!U$192*'Jutīguma analīze_IIA'!$B85</f>
        <v>8738.2283738516671</v>
      </c>
      <c r="W85" s="515">
        <f>Aprēķini!V$246+Aprēķini!V$192*'Jutīguma analīze_IIA'!$B85</f>
        <v>8441.4616863241536</v>
      </c>
      <c r="X85" s="515">
        <f>Aprēķini!W$246+Aprēķini!W$192*'Jutīguma analīze_IIA'!$B85</f>
        <v>8425.4471827884481</v>
      </c>
      <c r="Y85" s="515">
        <f>Aprēķini!X$246+Aprēķini!X$192*'Jutīguma analīze_IIA'!$B85</f>
        <v>11182.680294703361</v>
      </c>
      <c r="Z85" s="515">
        <f>Aprēķini!Y$246+Aprēķini!Y$192*'Jutīguma analīze_IIA'!$B85</f>
        <v>11166.665791168009</v>
      </c>
      <c r="AA85" s="515">
        <f>Aprēķini!Z$246+Aprēķini!Z$192*'Jutīguma analīze_IIA'!$B85</f>
        <v>10802.22755508656</v>
      </c>
      <c r="AB85" s="515">
        <f>Aprēķini!AA$246+Aprēķini!AA$192*'Jutīguma analīze_IIA'!$B85</f>
        <v>11133.065423550222</v>
      </c>
      <c r="AC85" s="515">
        <f>Aprēķini!AB$246+Aprēķini!AB$192*'Jutīguma analīze_IIA'!$B85</f>
        <v>10984.974948466221</v>
      </c>
      <c r="AD85" s="515">
        <f>Aprēķini!AC$246+Aprēķini!AC$192*'Jutīguma analīze_IIA'!$B85</f>
        <v>13406.378626433685</v>
      </c>
      <c r="AE85" s="515">
        <f>Aprēķini!AD$246+Aprēķini!AD$192*'Jutīguma analīze_IIA'!$B85</f>
        <v>28099.090746734568</v>
      </c>
      <c r="AF85" s="515">
        <f>Aprēķini!AE$246+Aprēķini!AE$192*'Jutīguma analīze_IIA'!$B85</f>
        <v>28023.685864194485</v>
      </c>
      <c r="AG85" s="515">
        <f>Aprēķini!AF$246+Aprēķini!AF$192*'Jutīguma analīze_IIA'!$B85</f>
        <v>18907.645375299631</v>
      </c>
      <c r="AH85" s="515">
        <f>Aprēķini!AG$246+Aprēķini!AG$192*'Jutīguma analīze_IIA'!$B85</f>
        <v>567491.19329313783</v>
      </c>
      <c r="AI85" s="515">
        <f>Aprēķini!AH$246+Aprēķini!AH$192*'Jutīguma analīze_IIA'!$B85</f>
        <v>18796.741210976019</v>
      </c>
    </row>
    <row r="86" spans="1:35" ht="12.75" x14ac:dyDescent="0.2">
      <c r="A86" s="640"/>
      <c r="B86" s="115">
        <v>-0.1</v>
      </c>
      <c r="C86" s="515">
        <f>Aprēķini!B$246+Aprēķini!B$192*'Jutīguma analīze_IIA'!$B86</f>
        <v>-60423.964000000007</v>
      </c>
      <c r="D86" s="515">
        <f>Aprēķini!C$246+Aprēķini!C$192*'Jutīguma analīze_IIA'!$B86</f>
        <v>-36674.824957396871</v>
      </c>
      <c r="E86" s="515">
        <f>Aprēķini!D$246+Aprēķini!D$192*'Jutīguma analīze_IIA'!$B86</f>
        <v>-51151.669066348986</v>
      </c>
      <c r="F86" s="515">
        <f>Aprēķini!E$246+Aprēķini!E$192*'Jutīguma analīze_IIA'!$B86</f>
        <v>8369.5376273348047</v>
      </c>
      <c r="G86" s="515">
        <f>Aprēķini!F$246+Aprēķini!F$192*'Jutīguma analīze_IIA'!$B86</f>
        <v>8248.8147016024377</v>
      </c>
      <c r="H86" s="515">
        <f>Aprēķini!G$246+Aprēķini!G$192*'Jutīguma analīze_IIA'!$B86</f>
        <v>8707.0373334866927</v>
      </c>
      <c r="I86" s="515">
        <f>Aprēķini!H$246+Aprēķini!H$192*'Jutīguma analīze_IIA'!$B86</f>
        <v>8670.8248514383376</v>
      </c>
      <c r="J86" s="515">
        <f>Aprēķini!I$246+Aprēķini!I$192*'Jutīguma analīze_IIA'!$B86</f>
        <v>8306.3555419794175</v>
      </c>
      <c r="K86" s="515">
        <f>Aprēķini!J$246+Aprēķini!J$192*'Jutīguma analīze_IIA'!$B86</f>
        <v>12455.249789607689</v>
      </c>
      <c r="L86" s="515">
        <f>Aprēķini!K$246+Aprēķini!K$192*'Jutīguma analīze_IIA'!$B86</f>
        <v>12787.196584693942</v>
      </c>
      <c r="M86" s="515">
        <f>Aprēķini!L$246+Aprēķini!L$192*'Jutīguma analīze_IIA'!$B86</f>
        <v>12641.786396778538</v>
      </c>
      <c r="N86" s="515">
        <f>Aprēķini!M$246+Aprēķini!M$192*'Jutīguma analīze_IIA'!$B86</f>
        <v>12843.228580862531</v>
      </c>
      <c r="O86" s="515">
        <f>Aprēķini!N$246+Aprēķini!N$192*'Jutīguma analīze_IIA'!$B86</f>
        <v>12696.247032400832</v>
      </c>
      <c r="P86" s="515">
        <f>Aprēķini!O$246+Aprēķini!O$192*'Jutīguma analīze_IIA'!$B86</f>
        <v>7798.0040648697177</v>
      </c>
      <c r="Q86" s="515">
        <f>Aprēķini!P$246+Aprēķini!P$192*'Jutīguma analīze_IIA'!$B86</f>
        <v>7755.6943053331925</v>
      </c>
      <c r="R86" s="515">
        <f>Aprēķini!Q$246+Aprēķini!Q$192*'Jutīguma analīze_IIA'!$B86</f>
        <v>10488.20352179373</v>
      </c>
      <c r="S86" s="515">
        <f>Aprēķini!R$246+Aprēķini!R$192*'Jutīguma analīze_IIA'!$B86</f>
        <v>8890.9908730052994</v>
      </c>
      <c r="T86" s="515">
        <f>Aprēķini!S$246+Aprēķini!S$192*'Jutīguma analīze_IIA'!$B86</f>
        <v>13252.913532016919</v>
      </c>
      <c r="U86" s="515">
        <f>Aprēķini!T$246+Aprēķini!T$192*'Jutīguma analīze_IIA'!$B86</f>
        <v>8557.3905053876806</v>
      </c>
      <c r="V86" s="515">
        <f>Aprēķini!U$246+Aprēķini!U$192*'Jutīguma analīze_IIA'!$B86</f>
        <v>8738.2283738516671</v>
      </c>
      <c r="W86" s="515">
        <f>Aprēķini!V$246+Aprēķini!V$192*'Jutīguma analīze_IIA'!$B86</f>
        <v>8441.4616863241536</v>
      </c>
      <c r="X86" s="515">
        <f>Aprēķini!W$246+Aprēķini!W$192*'Jutīguma analīze_IIA'!$B86</f>
        <v>8425.4471827884481</v>
      </c>
      <c r="Y86" s="515">
        <f>Aprēķini!X$246+Aprēķini!X$192*'Jutīguma analīze_IIA'!$B86</f>
        <v>11182.680294703361</v>
      </c>
      <c r="Z86" s="515">
        <f>Aprēķini!Y$246+Aprēķini!Y$192*'Jutīguma analīze_IIA'!$B86</f>
        <v>11166.665791168009</v>
      </c>
      <c r="AA86" s="515">
        <f>Aprēķini!Z$246+Aprēķini!Z$192*'Jutīguma analīze_IIA'!$B86</f>
        <v>10802.22755508656</v>
      </c>
      <c r="AB86" s="515">
        <f>Aprēķini!AA$246+Aprēķini!AA$192*'Jutīguma analīze_IIA'!$B86</f>
        <v>11133.065423550222</v>
      </c>
      <c r="AC86" s="515">
        <f>Aprēķini!AB$246+Aprēķini!AB$192*'Jutīguma analīze_IIA'!$B86</f>
        <v>10984.974948466221</v>
      </c>
      <c r="AD86" s="515">
        <f>Aprēķini!AC$246+Aprēķini!AC$192*'Jutīguma analīze_IIA'!$B86</f>
        <v>13406.378626433685</v>
      </c>
      <c r="AE86" s="515">
        <f>Aprēķini!AD$246+Aprēķini!AD$192*'Jutīguma analīze_IIA'!$B86</f>
        <v>28099.090746734568</v>
      </c>
      <c r="AF86" s="515">
        <f>Aprēķini!AE$246+Aprēķini!AE$192*'Jutīguma analīze_IIA'!$B86</f>
        <v>28023.685864194485</v>
      </c>
      <c r="AG86" s="515">
        <f>Aprēķini!AF$246+Aprēķini!AF$192*'Jutīguma analīze_IIA'!$B86</f>
        <v>18907.645375299631</v>
      </c>
      <c r="AH86" s="515">
        <f>Aprēķini!AG$246+Aprēķini!AG$192*'Jutīguma analīze_IIA'!$B86</f>
        <v>567491.19329313783</v>
      </c>
      <c r="AI86" s="515">
        <f>Aprēķini!AH$246+Aprēķini!AH$192*'Jutīguma analīze_IIA'!$B86</f>
        <v>18796.741210976019</v>
      </c>
    </row>
    <row r="87" spans="1:35" ht="12.75" x14ac:dyDescent="0.2">
      <c r="A87" s="504"/>
      <c r="B87" s="504"/>
      <c r="C87" s="508"/>
    </row>
    <row r="88" spans="1:35" ht="25.5" x14ac:dyDescent="0.2">
      <c r="A88" s="513"/>
      <c r="B88" s="514" t="s">
        <v>184</v>
      </c>
      <c r="C88" s="514">
        <f>C63</f>
        <v>2017</v>
      </c>
      <c r="D88" s="514">
        <f t="shared" ref="D88:AI88" si="2">D63</f>
        <v>2018</v>
      </c>
      <c r="E88" s="514">
        <f t="shared" si="2"/>
        <v>2019</v>
      </c>
      <c r="F88" s="514">
        <f t="shared" si="2"/>
        <v>2020</v>
      </c>
      <c r="G88" s="514">
        <f t="shared" si="2"/>
        <v>2021</v>
      </c>
      <c r="H88" s="514">
        <f t="shared" si="2"/>
        <v>2022</v>
      </c>
      <c r="I88" s="514">
        <f t="shared" si="2"/>
        <v>2023</v>
      </c>
      <c r="J88" s="514">
        <f t="shared" si="2"/>
        <v>2024</v>
      </c>
      <c r="K88" s="514">
        <f t="shared" si="2"/>
        <v>2025</v>
      </c>
      <c r="L88" s="514">
        <f t="shared" si="2"/>
        <v>2026</v>
      </c>
      <c r="M88" s="514">
        <f t="shared" si="2"/>
        <v>2027</v>
      </c>
      <c r="N88" s="514">
        <f t="shared" si="2"/>
        <v>2028</v>
      </c>
      <c r="O88" s="514">
        <f t="shared" si="2"/>
        <v>2029</v>
      </c>
      <c r="P88" s="514">
        <f t="shared" si="2"/>
        <v>2030</v>
      </c>
      <c r="Q88" s="514">
        <f t="shared" si="2"/>
        <v>2031</v>
      </c>
      <c r="R88" s="514">
        <f t="shared" si="2"/>
        <v>2032</v>
      </c>
      <c r="S88" s="514">
        <f t="shared" si="2"/>
        <v>2033</v>
      </c>
      <c r="T88" s="514">
        <f t="shared" si="2"/>
        <v>2034</v>
      </c>
      <c r="U88" s="514">
        <f t="shared" si="2"/>
        <v>2035</v>
      </c>
      <c r="V88" s="514">
        <f t="shared" si="2"/>
        <v>2036</v>
      </c>
      <c r="W88" s="514">
        <f t="shared" si="2"/>
        <v>2037</v>
      </c>
      <c r="X88" s="514">
        <f t="shared" si="2"/>
        <v>2038</v>
      </c>
      <c r="Y88" s="514">
        <f t="shared" si="2"/>
        <v>2039</v>
      </c>
      <c r="Z88" s="514">
        <f t="shared" si="2"/>
        <v>2040</v>
      </c>
      <c r="AA88" s="514">
        <f t="shared" si="2"/>
        <v>2041</v>
      </c>
      <c r="AB88" s="514">
        <f t="shared" si="2"/>
        <v>2042</v>
      </c>
      <c r="AC88" s="514">
        <f t="shared" si="2"/>
        <v>2043</v>
      </c>
      <c r="AD88" s="514">
        <f t="shared" si="2"/>
        <v>2044</v>
      </c>
      <c r="AE88" s="514">
        <f t="shared" si="2"/>
        <v>2045</v>
      </c>
      <c r="AF88" s="514">
        <f t="shared" si="2"/>
        <v>2046</v>
      </c>
      <c r="AG88" s="514">
        <f t="shared" si="2"/>
        <v>2047</v>
      </c>
      <c r="AH88" s="514">
        <f t="shared" si="2"/>
        <v>2048</v>
      </c>
      <c r="AI88" s="514">
        <f t="shared" si="2"/>
        <v>2049</v>
      </c>
    </row>
    <row r="89" spans="1:35" ht="12.75" x14ac:dyDescent="0.2">
      <c r="A89" s="792" t="s">
        <v>187</v>
      </c>
      <c r="B89" s="777"/>
      <c r="C89" s="777"/>
      <c r="D89" s="777"/>
      <c r="E89" s="777"/>
      <c r="F89" s="777"/>
      <c r="G89" s="777"/>
      <c r="H89" s="777"/>
      <c r="I89" s="777"/>
      <c r="J89" s="777"/>
      <c r="K89" s="777"/>
      <c r="L89" s="777"/>
      <c r="M89" s="777"/>
      <c r="N89" s="777"/>
      <c r="O89" s="777"/>
      <c r="P89" s="777"/>
      <c r="Q89" s="777"/>
      <c r="R89" s="777"/>
      <c r="S89" s="777"/>
      <c r="T89" s="777"/>
      <c r="U89" s="777"/>
      <c r="V89" s="777"/>
      <c r="W89" s="777"/>
      <c r="X89" s="777"/>
      <c r="Y89" s="777"/>
      <c r="Z89" s="777"/>
      <c r="AA89" s="777"/>
      <c r="AB89" s="777"/>
      <c r="AC89" s="777"/>
      <c r="AD89" s="777"/>
      <c r="AE89" s="777"/>
      <c r="AF89" s="777"/>
      <c r="AG89" s="777"/>
      <c r="AH89" s="777"/>
      <c r="AI89" s="777"/>
    </row>
    <row r="90" spans="1:35" ht="12.75" x14ac:dyDescent="0.2">
      <c r="A90" s="113" t="s">
        <v>185</v>
      </c>
      <c r="B90" s="115">
        <v>0.1</v>
      </c>
      <c r="C90" s="515">
        <f>Aprēķini!B$194</f>
        <v>-591813.80000000005</v>
      </c>
      <c r="D90" s="515">
        <f>Aprēķini!C$194</f>
        <v>-350720.66395739687</v>
      </c>
      <c r="E90" s="515">
        <f>Aprēķini!D$194</f>
        <v>-520570.17406634899</v>
      </c>
      <c r="F90" s="515">
        <f>Aprēķini!E$194</f>
        <v>19247.173944001472</v>
      </c>
      <c r="G90" s="515">
        <f>Aprēķini!F$194</f>
        <v>19086.548229935772</v>
      </c>
      <c r="H90" s="515">
        <f>Aprēķini!G$194</f>
        <v>19504.868073486694</v>
      </c>
      <c r="I90" s="515">
        <f>Aprēķini!H$194</f>
        <v>19428.752803105002</v>
      </c>
      <c r="J90" s="515">
        <f>Aprēķini!I$194</f>
        <v>19024.380705312749</v>
      </c>
      <c r="K90" s="515">
        <f>Aprēķini!J$194</f>
        <v>23133.372164607688</v>
      </c>
      <c r="L90" s="515">
        <f>Aprēķini!K$194</f>
        <v>23425.416171360608</v>
      </c>
      <c r="M90" s="515">
        <f>Aprēķini!L$194</f>
        <v>23240.103195111871</v>
      </c>
      <c r="N90" s="515">
        <f>Aprēķini!M$194</f>
        <v>23401.642590862532</v>
      </c>
      <c r="O90" s="515">
        <f>Aprēķini!N$194</f>
        <v>23214.758254067499</v>
      </c>
      <c r="P90" s="515">
        <f>Aprēķini!O$194</f>
        <v>18276.612498203049</v>
      </c>
      <c r="Q90" s="515">
        <f>Aprēķini!P$194</f>
        <v>18194.399950333191</v>
      </c>
      <c r="R90" s="515">
        <f>Aprēķini!Q$194</f>
        <v>20887.006378460395</v>
      </c>
      <c r="S90" s="515">
        <f>Aprēķini!R$194</f>
        <v>19249.890941338632</v>
      </c>
      <c r="T90" s="515">
        <f>Aprēķini!S$194</f>
        <v>23571.910812016918</v>
      </c>
      <c r="U90" s="515">
        <f>Aprēķini!T$194</f>
        <v>18836.484997054347</v>
      </c>
      <c r="V90" s="515">
        <f>Aprēķini!U$194</f>
        <v>18977.420077184997</v>
      </c>
      <c r="W90" s="515">
        <f>Aprēķini!V$194</f>
        <v>18640.750601324151</v>
      </c>
      <c r="X90" s="515">
        <f>Aprēķini!W$194</f>
        <v>18584.833309455113</v>
      </c>
      <c r="Y90" s="515">
        <f>Aprēķini!X$194</f>
        <v>21302.163633036693</v>
      </c>
      <c r="Z90" s="515">
        <f>Aprēķini!Y$194</f>
        <v>21246.246341168007</v>
      </c>
      <c r="AA90" s="515">
        <f>Aprēķini!Z$194</f>
        <v>20841.905316753226</v>
      </c>
      <c r="AB90" s="515">
        <f>Aprēķini!AA$194</f>
        <v>21132.840396883556</v>
      </c>
      <c r="AC90" s="515">
        <f>Aprēķini!AB$194</f>
        <v>20944.847133466217</v>
      </c>
      <c r="AD90" s="515">
        <f>Aprēķini!AC$194</f>
        <v>23326.348023100349</v>
      </c>
      <c r="AE90" s="515">
        <f>Aprēķini!AD$194</f>
        <v>37979.157355067888</v>
      </c>
      <c r="AF90" s="515">
        <f>Aprēķini!AE$194</f>
        <v>37863.849684194473</v>
      </c>
      <c r="AG90" s="515">
        <f>Aprēķini!AF$194</f>
        <v>28707.906406966285</v>
      </c>
      <c r="AH90" s="515">
        <f>Aprēķini!AG$194</f>
        <v>577251.55153647112</v>
      </c>
      <c r="AI90" s="515">
        <f>Aprēķini!AH$194</f>
        <v>28517.196665976007</v>
      </c>
    </row>
    <row r="91" spans="1:35" ht="12.75" x14ac:dyDescent="0.2">
      <c r="A91" s="638"/>
      <c r="B91" s="115">
        <v>7.4999999999999997E-2</v>
      </c>
      <c r="C91" s="515">
        <f>Aprēķini!B$194</f>
        <v>-591813.80000000005</v>
      </c>
      <c r="D91" s="515">
        <f>Aprēķini!C$194</f>
        <v>-350720.66395739687</v>
      </c>
      <c r="E91" s="515">
        <f>Aprēķini!D$194</f>
        <v>-520570.17406634899</v>
      </c>
      <c r="F91" s="515">
        <f>Aprēķini!E$194</f>
        <v>19247.173944001472</v>
      </c>
      <c r="G91" s="515">
        <f>Aprēķini!F$194</f>
        <v>19086.548229935772</v>
      </c>
      <c r="H91" s="515">
        <f>Aprēķini!G$194</f>
        <v>19504.868073486694</v>
      </c>
      <c r="I91" s="515">
        <f>Aprēķini!H$194</f>
        <v>19428.752803105002</v>
      </c>
      <c r="J91" s="515">
        <f>Aprēķini!I$194</f>
        <v>19024.380705312749</v>
      </c>
      <c r="K91" s="515">
        <f>Aprēķini!J$194</f>
        <v>23133.372164607688</v>
      </c>
      <c r="L91" s="515">
        <f>Aprēķini!K$194</f>
        <v>23425.416171360608</v>
      </c>
      <c r="M91" s="515">
        <f>Aprēķini!L$194</f>
        <v>23240.103195111871</v>
      </c>
      <c r="N91" s="515">
        <f>Aprēķini!M$194</f>
        <v>23401.642590862532</v>
      </c>
      <c r="O91" s="515">
        <f>Aprēķini!N$194</f>
        <v>23214.758254067499</v>
      </c>
      <c r="P91" s="515">
        <f>Aprēķini!O$194</f>
        <v>18276.612498203049</v>
      </c>
      <c r="Q91" s="515">
        <f>Aprēķini!P$194</f>
        <v>18194.399950333191</v>
      </c>
      <c r="R91" s="515">
        <f>Aprēķini!Q$194</f>
        <v>20887.006378460395</v>
      </c>
      <c r="S91" s="515">
        <f>Aprēķini!R$194</f>
        <v>19249.890941338632</v>
      </c>
      <c r="T91" s="515">
        <f>Aprēķini!S$194</f>
        <v>23571.910812016918</v>
      </c>
      <c r="U91" s="515">
        <f>Aprēķini!T$194</f>
        <v>18836.484997054347</v>
      </c>
      <c r="V91" s="515">
        <f>Aprēķini!U$194</f>
        <v>18977.420077184997</v>
      </c>
      <c r="W91" s="515">
        <f>Aprēķini!V$194</f>
        <v>18640.750601324151</v>
      </c>
      <c r="X91" s="515">
        <f>Aprēķini!W$194</f>
        <v>18584.833309455113</v>
      </c>
      <c r="Y91" s="515">
        <f>Aprēķini!X$194</f>
        <v>21302.163633036693</v>
      </c>
      <c r="Z91" s="515">
        <f>Aprēķini!Y$194</f>
        <v>21246.246341168007</v>
      </c>
      <c r="AA91" s="515">
        <f>Aprēķini!Z$194</f>
        <v>20841.905316753226</v>
      </c>
      <c r="AB91" s="515">
        <f>Aprēķini!AA$194</f>
        <v>21132.840396883556</v>
      </c>
      <c r="AC91" s="515">
        <f>Aprēķini!AB$194</f>
        <v>20944.847133466217</v>
      </c>
      <c r="AD91" s="515">
        <f>Aprēķini!AC$194</f>
        <v>23326.348023100349</v>
      </c>
      <c r="AE91" s="515">
        <f>Aprēķini!AD$194</f>
        <v>37979.157355067888</v>
      </c>
      <c r="AF91" s="515">
        <f>Aprēķini!AE$194</f>
        <v>37863.849684194473</v>
      </c>
      <c r="AG91" s="515">
        <f>Aprēķini!AF$194</f>
        <v>28707.906406966285</v>
      </c>
      <c r="AH91" s="515">
        <f>Aprēķini!AG$194</f>
        <v>577251.55153647112</v>
      </c>
      <c r="AI91" s="515">
        <f>Aprēķini!AH$194</f>
        <v>28517.196665976007</v>
      </c>
    </row>
    <row r="92" spans="1:35" ht="12.75" x14ac:dyDescent="0.2">
      <c r="A92" s="639"/>
      <c r="B92" s="115">
        <v>0.05</v>
      </c>
      <c r="C92" s="515">
        <f>Aprēķini!B$194</f>
        <v>-591813.80000000005</v>
      </c>
      <c r="D92" s="515">
        <f>Aprēķini!C$194</f>
        <v>-350720.66395739687</v>
      </c>
      <c r="E92" s="515">
        <f>Aprēķini!D$194</f>
        <v>-520570.17406634899</v>
      </c>
      <c r="F92" s="515">
        <f>Aprēķini!E$194</f>
        <v>19247.173944001472</v>
      </c>
      <c r="G92" s="515">
        <f>Aprēķini!F$194</f>
        <v>19086.548229935772</v>
      </c>
      <c r="H92" s="515">
        <f>Aprēķini!G$194</f>
        <v>19504.868073486694</v>
      </c>
      <c r="I92" s="515">
        <f>Aprēķini!H$194</f>
        <v>19428.752803105002</v>
      </c>
      <c r="J92" s="515">
        <f>Aprēķini!I$194</f>
        <v>19024.380705312749</v>
      </c>
      <c r="K92" s="515">
        <f>Aprēķini!J$194</f>
        <v>23133.372164607688</v>
      </c>
      <c r="L92" s="515">
        <f>Aprēķini!K$194</f>
        <v>23425.416171360608</v>
      </c>
      <c r="M92" s="515">
        <f>Aprēķini!L$194</f>
        <v>23240.103195111871</v>
      </c>
      <c r="N92" s="515">
        <f>Aprēķini!M$194</f>
        <v>23401.642590862532</v>
      </c>
      <c r="O92" s="515">
        <f>Aprēķini!N$194</f>
        <v>23214.758254067499</v>
      </c>
      <c r="P92" s="515">
        <f>Aprēķini!O$194</f>
        <v>18276.612498203049</v>
      </c>
      <c r="Q92" s="515">
        <f>Aprēķini!P$194</f>
        <v>18194.399950333191</v>
      </c>
      <c r="R92" s="515">
        <f>Aprēķini!Q$194</f>
        <v>20887.006378460395</v>
      </c>
      <c r="S92" s="515">
        <f>Aprēķini!R$194</f>
        <v>19249.890941338632</v>
      </c>
      <c r="T92" s="515">
        <f>Aprēķini!S$194</f>
        <v>23571.910812016918</v>
      </c>
      <c r="U92" s="515">
        <f>Aprēķini!T$194</f>
        <v>18836.484997054347</v>
      </c>
      <c r="V92" s="515">
        <f>Aprēķini!U$194</f>
        <v>18977.420077184997</v>
      </c>
      <c r="W92" s="515">
        <f>Aprēķini!V$194</f>
        <v>18640.750601324151</v>
      </c>
      <c r="X92" s="515">
        <f>Aprēķini!W$194</f>
        <v>18584.833309455113</v>
      </c>
      <c r="Y92" s="515">
        <f>Aprēķini!X$194</f>
        <v>21302.163633036693</v>
      </c>
      <c r="Z92" s="515">
        <f>Aprēķini!Y$194</f>
        <v>21246.246341168007</v>
      </c>
      <c r="AA92" s="515">
        <f>Aprēķini!Z$194</f>
        <v>20841.905316753226</v>
      </c>
      <c r="AB92" s="515">
        <f>Aprēķini!AA$194</f>
        <v>21132.840396883556</v>
      </c>
      <c r="AC92" s="515">
        <f>Aprēķini!AB$194</f>
        <v>20944.847133466217</v>
      </c>
      <c r="AD92" s="515">
        <f>Aprēķini!AC$194</f>
        <v>23326.348023100349</v>
      </c>
      <c r="AE92" s="515">
        <f>Aprēķini!AD$194</f>
        <v>37979.157355067888</v>
      </c>
      <c r="AF92" s="515">
        <f>Aprēķini!AE$194</f>
        <v>37863.849684194473</v>
      </c>
      <c r="AG92" s="515">
        <f>Aprēķini!AF$194</f>
        <v>28707.906406966285</v>
      </c>
      <c r="AH92" s="515">
        <f>Aprēķini!AG$194</f>
        <v>577251.55153647112</v>
      </c>
      <c r="AI92" s="515">
        <f>Aprēķini!AH$194</f>
        <v>28517.196665976007</v>
      </c>
    </row>
    <row r="93" spans="1:35" ht="12.75" x14ac:dyDescent="0.2">
      <c r="A93" s="639"/>
      <c r="B93" s="115">
        <v>2.5000000000000001E-2</v>
      </c>
      <c r="C93" s="515">
        <f>Aprēķini!B$194</f>
        <v>-591813.80000000005</v>
      </c>
      <c r="D93" s="515">
        <f>Aprēķini!C$194</f>
        <v>-350720.66395739687</v>
      </c>
      <c r="E93" s="515">
        <f>Aprēķini!D$194</f>
        <v>-520570.17406634899</v>
      </c>
      <c r="F93" s="515">
        <f>Aprēķini!E$194</f>
        <v>19247.173944001472</v>
      </c>
      <c r="G93" s="515">
        <f>Aprēķini!F$194</f>
        <v>19086.548229935772</v>
      </c>
      <c r="H93" s="515">
        <f>Aprēķini!G$194</f>
        <v>19504.868073486694</v>
      </c>
      <c r="I93" s="515">
        <f>Aprēķini!H$194</f>
        <v>19428.752803105002</v>
      </c>
      <c r="J93" s="515">
        <f>Aprēķini!I$194</f>
        <v>19024.380705312749</v>
      </c>
      <c r="K93" s="515">
        <f>Aprēķini!J$194</f>
        <v>23133.372164607688</v>
      </c>
      <c r="L93" s="515">
        <f>Aprēķini!K$194</f>
        <v>23425.416171360608</v>
      </c>
      <c r="M93" s="515">
        <f>Aprēķini!L$194</f>
        <v>23240.103195111871</v>
      </c>
      <c r="N93" s="515">
        <f>Aprēķini!M$194</f>
        <v>23401.642590862532</v>
      </c>
      <c r="O93" s="515">
        <f>Aprēķini!N$194</f>
        <v>23214.758254067499</v>
      </c>
      <c r="P93" s="515">
        <f>Aprēķini!O$194</f>
        <v>18276.612498203049</v>
      </c>
      <c r="Q93" s="515">
        <f>Aprēķini!P$194</f>
        <v>18194.399950333191</v>
      </c>
      <c r="R93" s="515">
        <f>Aprēķini!Q$194</f>
        <v>20887.006378460395</v>
      </c>
      <c r="S93" s="515">
        <f>Aprēķini!R$194</f>
        <v>19249.890941338632</v>
      </c>
      <c r="T93" s="515">
        <f>Aprēķini!S$194</f>
        <v>23571.910812016918</v>
      </c>
      <c r="U93" s="515">
        <f>Aprēķini!T$194</f>
        <v>18836.484997054347</v>
      </c>
      <c r="V93" s="515">
        <f>Aprēķini!U$194</f>
        <v>18977.420077184997</v>
      </c>
      <c r="W93" s="515">
        <f>Aprēķini!V$194</f>
        <v>18640.750601324151</v>
      </c>
      <c r="X93" s="515">
        <f>Aprēķini!W$194</f>
        <v>18584.833309455113</v>
      </c>
      <c r="Y93" s="515">
        <f>Aprēķini!X$194</f>
        <v>21302.163633036693</v>
      </c>
      <c r="Z93" s="515">
        <f>Aprēķini!Y$194</f>
        <v>21246.246341168007</v>
      </c>
      <c r="AA93" s="515">
        <f>Aprēķini!Z$194</f>
        <v>20841.905316753226</v>
      </c>
      <c r="AB93" s="515">
        <f>Aprēķini!AA$194</f>
        <v>21132.840396883556</v>
      </c>
      <c r="AC93" s="515">
        <f>Aprēķini!AB$194</f>
        <v>20944.847133466217</v>
      </c>
      <c r="AD93" s="515">
        <f>Aprēķini!AC$194</f>
        <v>23326.348023100349</v>
      </c>
      <c r="AE93" s="515">
        <f>Aprēķini!AD$194</f>
        <v>37979.157355067888</v>
      </c>
      <c r="AF93" s="515">
        <f>Aprēķini!AE$194</f>
        <v>37863.849684194473</v>
      </c>
      <c r="AG93" s="515">
        <f>Aprēķini!AF$194</f>
        <v>28707.906406966285</v>
      </c>
      <c r="AH93" s="515">
        <f>Aprēķini!AG$194</f>
        <v>577251.55153647112</v>
      </c>
      <c r="AI93" s="515">
        <f>Aprēķini!AH$194</f>
        <v>28517.196665976007</v>
      </c>
    </row>
    <row r="94" spans="1:35" ht="12.75" x14ac:dyDescent="0.2">
      <c r="A94" s="639"/>
      <c r="B94" s="115">
        <v>0.01</v>
      </c>
      <c r="C94" s="515">
        <f>Aprēķini!B$194</f>
        <v>-591813.80000000005</v>
      </c>
      <c r="D94" s="515">
        <f>Aprēķini!C$194</f>
        <v>-350720.66395739687</v>
      </c>
      <c r="E94" s="515">
        <f>Aprēķini!D$194</f>
        <v>-520570.17406634899</v>
      </c>
      <c r="F94" s="515">
        <f>Aprēķini!E$194</f>
        <v>19247.173944001472</v>
      </c>
      <c r="G94" s="515">
        <f>Aprēķini!F$194</f>
        <v>19086.548229935772</v>
      </c>
      <c r="H94" s="515">
        <f>Aprēķini!G$194</f>
        <v>19504.868073486694</v>
      </c>
      <c r="I94" s="515">
        <f>Aprēķini!H$194</f>
        <v>19428.752803105002</v>
      </c>
      <c r="J94" s="515">
        <f>Aprēķini!I$194</f>
        <v>19024.380705312749</v>
      </c>
      <c r="K94" s="515">
        <f>Aprēķini!J$194</f>
        <v>23133.372164607688</v>
      </c>
      <c r="L94" s="515">
        <f>Aprēķini!K$194</f>
        <v>23425.416171360608</v>
      </c>
      <c r="M94" s="515">
        <f>Aprēķini!L$194</f>
        <v>23240.103195111871</v>
      </c>
      <c r="N94" s="515">
        <f>Aprēķini!M$194</f>
        <v>23401.642590862532</v>
      </c>
      <c r="O94" s="515">
        <f>Aprēķini!N$194</f>
        <v>23214.758254067499</v>
      </c>
      <c r="P94" s="515">
        <f>Aprēķini!O$194</f>
        <v>18276.612498203049</v>
      </c>
      <c r="Q94" s="515">
        <f>Aprēķini!P$194</f>
        <v>18194.399950333191</v>
      </c>
      <c r="R94" s="515">
        <f>Aprēķini!Q$194</f>
        <v>20887.006378460395</v>
      </c>
      <c r="S94" s="515">
        <f>Aprēķini!R$194</f>
        <v>19249.890941338632</v>
      </c>
      <c r="T94" s="515">
        <f>Aprēķini!S$194</f>
        <v>23571.910812016918</v>
      </c>
      <c r="U94" s="515">
        <f>Aprēķini!T$194</f>
        <v>18836.484997054347</v>
      </c>
      <c r="V94" s="515">
        <f>Aprēķini!U$194</f>
        <v>18977.420077184997</v>
      </c>
      <c r="W94" s="515">
        <f>Aprēķini!V$194</f>
        <v>18640.750601324151</v>
      </c>
      <c r="X94" s="515">
        <f>Aprēķini!W$194</f>
        <v>18584.833309455113</v>
      </c>
      <c r="Y94" s="515">
        <f>Aprēķini!X$194</f>
        <v>21302.163633036693</v>
      </c>
      <c r="Z94" s="515">
        <f>Aprēķini!Y$194</f>
        <v>21246.246341168007</v>
      </c>
      <c r="AA94" s="515">
        <f>Aprēķini!Z$194</f>
        <v>20841.905316753226</v>
      </c>
      <c r="AB94" s="515">
        <f>Aprēķini!AA$194</f>
        <v>21132.840396883556</v>
      </c>
      <c r="AC94" s="515">
        <f>Aprēķini!AB$194</f>
        <v>20944.847133466217</v>
      </c>
      <c r="AD94" s="515">
        <f>Aprēķini!AC$194</f>
        <v>23326.348023100349</v>
      </c>
      <c r="AE94" s="515">
        <f>Aprēķini!AD$194</f>
        <v>37979.157355067888</v>
      </c>
      <c r="AF94" s="515">
        <f>Aprēķini!AE$194</f>
        <v>37863.849684194473</v>
      </c>
      <c r="AG94" s="515">
        <f>Aprēķini!AF$194</f>
        <v>28707.906406966285</v>
      </c>
      <c r="AH94" s="515">
        <f>Aprēķini!AG$194</f>
        <v>577251.55153647112</v>
      </c>
      <c r="AI94" s="515">
        <f>Aprēķini!AH$194</f>
        <v>28517.196665976007</v>
      </c>
    </row>
    <row r="95" spans="1:35" ht="12.75" x14ac:dyDescent="0.2">
      <c r="A95" s="639"/>
      <c r="B95" s="116">
        <v>0</v>
      </c>
      <c r="C95" s="583">
        <f>Aprēķini!B$194</f>
        <v>-591813.80000000005</v>
      </c>
      <c r="D95" s="583">
        <f>Aprēķini!C$194</f>
        <v>-350720.66395739687</v>
      </c>
      <c r="E95" s="583">
        <f>Aprēķini!D$194</f>
        <v>-520570.17406634899</v>
      </c>
      <c r="F95" s="583">
        <f>Aprēķini!E$194</f>
        <v>19247.173944001472</v>
      </c>
      <c r="G95" s="583">
        <f>Aprēķini!F$194</f>
        <v>19086.548229935772</v>
      </c>
      <c r="H95" s="583">
        <f>Aprēķini!G$194</f>
        <v>19504.868073486694</v>
      </c>
      <c r="I95" s="583">
        <f>Aprēķini!H$194</f>
        <v>19428.752803105002</v>
      </c>
      <c r="J95" s="583">
        <f>Aprēķini!I$194</f>
        <v>19024.380705312749</v>
      </c>
      <c r="K95" s="583">
        <f>Aprēķini!J$194</f>
        <v>23133.372164607688</v>
      </c>
      <c r="L95" s="583">
        <f>Aprēķini!K$194</f>
        <v>23425.416171360608</v>
      </c>
      <c r="M95" s="583">
        <f>Aprēķini!L$194</f>
        <v>23240.103195111871</v>
      </c>
      <c r="N95" s="583">
        <f>Aprēķini!M$194</f>
        <v>23401.642590862532</v>
      </c>
      <c r="O95" s="583">
        <f>Aprēķini!N$194</f>
        <v>23214.758254067499</v>
      </c>
      <c r="P95" s="583">
        <f>Aprēķini!O$194</f>
        <v>18276.612498203049</v>
      </c>
      <c r="Q95" s="583">
        <f>Aprēķini!P$194</f>
        <v>18194.399950333191</v>
      </c>
      <c r="R95" s="583">
        <f>Aprēķini!Q$194</f>
        <v>20887.006378460395</v>
      </c>
      <c r="S95" s="583">
        <f>Aprēķini!R$194</f>
        <v>19249.890941338632</v>
      </c>
      <c r="T95" s="583">
        <f>Aprēķini!S$194</f>
        <v>23571.910812016918</v>
      </c>
      <c r="U95" s="583">
        <f>Aprēķini!T$194</f>
        <v>18836.484997054347</v>
      </c>
      <c r="V95" s="583">
        <f>Aprēķini!U$194</f>
        <v>18977.420077184997</v>
      </c>
      <c r="W95" s="583">
        <f>Aprēķini!V$194</f>
        <v>18640.750601324151</v>
      </c>
      <c r="X95" s="583">
        <f>Aprēķini!W$194</f>
        <v>18584.833309455113</v>
      </c>
      <c r="Y95" s="583">
        <f>Aprēķini!X$194</f>
        <v>21302.163633036693</v>
      </c>
      <c r="Z95" s="583">
        <f>Aprēķini!Y$194</f>
        <v>21246.246341168007</v>
      </c>
      <c r="AA95" s="583">
        <f>Aprēķini!Z$194</f>
        <v>20841.905316753226</v>
      </c>
      <c r="AB95" s="583">
        <f>Aprēķini!AA$194</f>
        <v>21132.840396883556</v>
      </c>
      <c r="AC95" s="583">
        <f>Aprēķini!AB$194</f>
        <v>20944.847133466217</v>
      </c>
      <c r="AD95" s="583">
        <f>Aprēķini!AC$194</f>
        <v>23326.348023100349</v>
      </c>
      <c r="AE95" s="583">
        <f>Aprēķini!AD$194</f>
        <v>37979.157355067888</v>
      </c>
      <c r="AF95" s="583">
        <f>Aprēķini!AE$194</f>
        <v>37863.849684194473</v>
      </c>
      <c r="AG95" s="583">
        <f>Aprēķini!AF$194</f>
        <v>28707.906406966285</v>
      </c>
      <c r="AH95" s="583">
        <f>Aprēķini!AG$194</f>
        <v>577251.55153647112</v>
      </c>
      <c r="AI95" s="583">
        <f>Aprēķini!AH$194</f>
        <v>28517.196665976007</v>
      </c>
    </row>
    <row r="96" spans="1:35" ht="12.75" x14ac:dyDescent="0.2">
      <c r="A96" s="639"/>
      <c r="B96" s="115">
        <v>-0.01</v>
      </c>
      <c r="C96" s="515">
        <f>Aprēķini!B$194</f>
        <v>-591813.80000000005</v>
      </c>
      <c r="D96" s="515">
        <f>Aprēķini!C$194</f>
        <v>-350720.66395739687</v>
      </c>
      <c r="E96" s="515">
        <f>Aprēķini!D$194</f>
        <v>-520570.17406634899</v>
      </c>
      <c r="F96" s="515">
        <f>Aprēķini!E$194</f>
        <v>19247.173944001472</v>
      </c>
      <c r="G96" s="515">
        <f>Aprēķini!F$194</f>
        <v>19086.548229935772</v>
      </c>
      <c r="H96" s="515">
        <f>Aprēķini!G$194</f>
        <v>19504.868073486694</v>
      </c>
      <c r="I96" s="515">
        <f>Aprēķini!H$194</f>
        <v>19428.752803105002</v>
      </c>
      <c r="J96" s="515">
        <f>Aprēķini!I$194</f>
        <v>19024.380705312749</v>
      </c>
      <c r="K96" s="515">
        <f>Aprēķini!J$194</f>
        <v>23133.372164607688</v>
      </c>
      <c r="L96" s="515">
        <f>Aprēķini!K$194</f>
        <v>23425.416171360608</v>
      </c>
      <c r="M96" s="515">
        <f>Aprēķini!L$194</f>
        <v>23240.103195111871</v>
      </c>
      <c r="N96" s="515">
        <f>Aprēķini!M$194</f>
        <v>23401.642590862532</v>
      </c>
      <c r="O96" s="515">
        <f>Aprēķini!N$194</f>
        <v>23214.758254067499</v>
      </c>
      <c r="P96" s="515">
        <f>Aprēķini!O$194</f>
        <v>18276.612498203049</v>
      </c>
      <c r="Q96" s="515">
        <f>Aprēķini!P$194</f>
        <v>18194.399950333191</v>
      </c>
      <c r="R96" s="515">
        <f>Aprēķini!Q$194</f>
        <v>20887.006378460395</v>
      </c>
      <c r="S96" s="515">
        <f>Aprēķini!R$194</f>
        <v>19249.890941338632</v>
      </c>
      <c r="T96" s="515">
        <f>Aprēķini!S$194</f>
        <v>23571.910812016918</v>
      </c>
      <c r="U96" s="515">
        <f>Aprēķini!T$194</f>
        <v>18836.484997054347</v>
      </c>
      <c r="V96" s="515">
        <f>Aprēķini!U$194</f>
        <v>18977.420077184997</v>
      </c>
      <c r="W96" s="515">
        <f>Aprēķini!V$194</f>
        <v>18640.750601324151</v>
      </c>
      <c r="X96" s="515">
        <f>Aprēķini!W$194</f>
        <v>18584.833309455113</v>
      </c>
      <c r="Y96" s="515">
        <f>Aprēķini!X$194</f>
        <v>21302.163633036693</v>
      </c>
      <c r="Z96" s="515">
        <f>Aprēķini!Y$194</f>
        <v>21246.246341168007</v>
      </c>
      <c r="AA96" s="515">
        <f>Aprēķini!Z$194</f>
        <v>20841.905316753226</v>
      </c>
      <c r="AB96" s="515">
        <f>Aprēķini!AA$194</f>
        <v>21132.840396883556</v>
      </c>
      <c r="AC96" s="515">
        <f>Aprēķini!AB$194</f>
        <v>20944.847133466217</v>
      </c>
      <c r="AD96" s="515">
        <f>Aprēķini!AC$194</f>
        <v>23326.348023100349</v>
      </c>
      <c r="AE96" s="515">
        <f>Aprēķini!AD$194</f>
        <v>37979.157355067888</v>
      </c>
      <c r="AF96" s="515">
        <f>Aprēķini!AE$194</f>
        <v>37863.849684194473</v>
      </c>
      <c r="AG96" s="515">
        <f>Aprēķini!AF$194</f>
        <v>28707.906406966285</v>
      </c>
      <c r="AH96" s="515">
        <f>Aprēķini!AG$194</f>
        <v>577251.55153647112</v>
      </c>
      <c r="AI96" s="515">
        <f>Aprēķini!AH$194</f>
        <v>28517.196665976007</v>
      </c>
    </row>
    <row r="97" spans="1:45" ht="12.75" x14ac:dyDescent="0.2">
      <c r="A97" s="639"/>
      <c r="B97" s="115">
        <v>-2.5000000000000001E-2</v>
      </c>
      <c r="C97" s="515">
        <f>Aprēķini!B$194</f>
        <v>-591813.80000000005</v>
      </c>
      <c r="D97" s="515">
        <f>Aprēķini!C$194</f>
        <v>-350720.66395739687</v>
      </c>
      <c r="E97" s="515">
        <f>Aprēķini!D$194</f>
        <v>-520570.17406634899</v>
      </c>
      <c r="F97" s="515">
        <f>Aprēķini!E$194</f>
        <v>19247.173944001472</v>
      </c>
      <c r="G97" s="515">
        <f>Aprēķini!F$194</f>
        <v>19086.548229935772</v>
      </c>
      <c r="H97" s="515">
        <f>Aprēķini!G$194</f>
        <v>19504.868073486694</v>
      </c>
      <c r="I97" s="515">
        <f>Aprēķini!H$194</f>
        <v>19428.752803105002</v>
      </c>
      <c r="J97" s="515">
        <f>Aprēķini!I$194</f>
        <v>19024.380705312749</v>
      </c>
      <c r="K97" s="515">
        <f>Aprēķini!J$194</f>
        <v>23133.372164607688</v>
      </c>
      <c r="L97" s="515">
        <f>Aprēķini!K$194</f>
        <v>23425.416171360608</v>
      </c>
      <c r="M97" s="515">
        <f>Aprēķini!L$194</f>
        <v>23240.103195111871</v>
      </c>
      <c r="N97" s="515">
        <f>Aprēķini!M$194</f>
        <v>23401.642590862532</v>
      </c>
      <c r="O97" s="515">
        <f>Aprēķini!N$194</f>
        <v>23214.758254067499</v>
      </c>
      <c r="P97" s="515">
        <f>Aprēķini!O$194</f>
        <v>18276.612498203049</v>
      </c>
      <c r="Q97" s="515">
        <f>Aprēķini!P$194</f>
        <v>18194.399950333191</v>
      </c>
      <c r="R97" s="515">
        <f>Aprēķini!Q$194</f>
        <v>20887.006378460395</v>
      </c>
      <c r="S97" s="515">
        <f>Aprēķini!R$194</f>
        <v>19249.890941338632</v>
      </c>
      <c r="T97" s="515">
        <f>Aprēķini!S$194</f>
        <v>23571.910812016918</v>
      </c>
      <c r="U97" s="515">
        <f>Aprēķini!T$194</f>
        <v>18836.484997054347</v>
      </c>
      <c r="V97" s="515">
        <f>Aprēķini!U$194</f>
        <v>18977.420077184997</v>
      </c>
      <c r="W97" s="515">
        <f>Aprēķini!V$194</f>
        <v>18640.750601324151</v>
      </c>
      <c r="X97" s="515">
        <f>Aprēķini!W$194</f>
        <v>18584.833309455113</v>
      </c>
      <c r="Y97" s="515">
        <f>Aprēķini!X$194</f>
        <v>21302.163633036693</v>
      </c>
      <c r="Z97" s="515">
        <f>Aprēķini!Y$194</f>
        <v>21246.246341168007</v>
      </c>
      <c r="AA97" s="515">
        <f>Aprēķini!Z$194</f>
        <v>20841.905316753226</v>
      </c>
      <c r="AB97" s="515">
        <f>Aprēķini!AA$194</f>
        <v>21132.840396883556</v>
      </c>
      <c r="AC97" s="515">
        <f>Aprēķini!AB$194</f>
        <v>20944.847133466217</v>
      </c>
      <c r="AD97" s="515">
        <f>Aprēķini!AC$194</f>
        <v>23326.348023100349</v>
      </c>
      <c r="AE97" s="515">
        <f>Aprēķini!AD$194</f>
        <v>37979.157355067888</v>
      </c>
      <c r="AF97" s="515">
        <f>Aprēķini!AE$194</f>
        <v>37863.849684194473</v>
      </c>
      <c r="AG97" s="515">
        <f>Aprēķini!AF$194</f>
        <v>28707.906406966285</v>
      </c>
      <c r="AH97" s="515">
        <f>Aprēķini!AG$194</f>
        <v>577251.55153647112</v>
      </c>
      <c r="AI97" s="515">
        <f>Aprēķini!AH$194</f>
        <v>28517.196665976007</v>
      </c>
    </row>
    <row r="98" spans="1:45" ht="12.75" x14ac:dyDescent="0.2">
      <c r="A98" s="639"/>
      <c r="B98" s="115">
        <v>-0.05</v>
      </c>
      <c r="C98" s="515">
        <f>Aprēķini!B$194</f>
        <v>-591813.80000000005</v>
      </c>
      <c r="D98" s="515">
        <f>Aprēķini!C$194</f>
        <v>-350720.66395739687</v>
      </c>
      <c r="E98" s="515">
        <f>Aprēķini!D$194</f>
        <v>-520570.17406634899</v>
      </c>
      <c r="F98" s="515">
        <f>Aprēķini!E$194</f>
        <v>19247.173944001472</v>
      </c>
      <c r="G98" s="515">
        <f>Aprēķini!F$194</f>
        <v>19086.548229935772</v>
      </c>
      <c r="H98" s="515">
        <f>Aprēķini!G$194</f>
        <v>19504.868073486694</v>
      </c>
      <c r="I98" s="515">
        <f>Aprēķini!H$194</f>
        <v>19428.752803105002</v>
      </c>
      <c r="J98" s="515">
        <f>Aprēķini!I$194</f>
        <v>19024.380705312749</v>
      </c>
      <c r="K98" s="515">
        <f>Aprēķini!J$194</f>
        <v>23133.372164607688</v>
      </c>
      <c r="L98" s="515">
        <f>Aprēķini!K$194</f>
        <v>23425.416171360608</v>
      </c>
      <c r="M98" s="515">
        <f>Aprēķini!L$194</f>
        <v>23240.103195111871</v>
      </c>
      <c r="N98" s="515">
        <f>Aprēķini!M$194</f>
        <v>23401.642590862532</v>
      </c>
      <c r="O98" s="515">
        <f>Aprēķini!N$194</f>
        <v>23214.758254067499</v>
      </c>
      <c r="P98" s="515">
        <f>Aprēķini!O$194</f>
        <v>18276.612498203049</v>
      </c>
      <c r="Q98" s="515">
        <f>Aprēķini!P$194</f>
        <v>18194.399950333191</v>
      </c>
      <c r="R98" s="515">
        <f>Aprēķini!Q$194</f>
        <v>20887.006378460395</v>
      </c>
      <c r="S98" s="515">
        <f>Aprēķini!R$194</f>
        <v>19249.890941338632</v>
      </c>
      <c r="T98" s="515">
        <f>Aprēķini!S$194</f>
        <v>23571.910812016918</v>
      </c>
      <c r="U98" s="515">
        <f>Aprēķini!T$194</f>
        <v>18836.484997054347</v>
      </c>
      <c r="V98" s="515">
        <f>Aprēķini!U$194</f>
        <v>18977.420077184997</v>
      </c>
      <c r="W98" s="515">
        <f>Aprēķini!V$194</f>
        <v>18640.750601324151</v>
      </c>
      <c r="X98" s="515">
        <f>Aprēķini!W$194</f>
        <v>18584.833309455113</v>
      </c>
      <c r="Y98" s="515">
        <f>Aprēķini!X$194</f>
        <v>21302.163633036693</v>
      </c>
      <c r="Z98" s="515">
        <f>Aprēķini!Y$194</f>
        <v>21246.246341168007</v>
      </c>
      <c r="AA98" s="515">
        <f>Aprēķini!Z$194</f>
        <v>20841.905316753226</v>
      </c>
      <c r="AB98" s="515">
        <f>Aprēķini!AA$194</f>
        <v>21132.840396883556</v>
      </c>
      <c r="AC98" s="515">
        <f>Aprēķini!AB$194</f>
        <v>20944.847133466217</v>
      </c>
      <c r="AD98" s="515">
        <f>Aprēķini!AC$194</f>
        <v>23326.348023100349</v>
      </c>
      <c r="AE98" s="515">
        <f>Aprēķini!AD$194</f>
        <v>37979.157355067888</v>
      </c>
      <c r="AF98" s="515">
        <f>Aprēķini!AE$194</f>
        <v>37863.849684194473</v>
      </c>
      <c r="AG98" s="515">
        <f>Aprēķini!AF$194</f>
        <v>28707.906406966285</v>
      </c>
      <c r="AH98" s="515">
        <f>Aprēķini!AG$194</f>
        <v>577251.55153647112</v>
      </c>
      <c r="AI98" s="515">
        <f>Aprēķini!AH$194</f>
        <v>28517.196665976007</v>
      </c>
    </row>
    <row r="99" spans="1:45" ht="12.75" x14ac:dyDescent="0.2">
      <c r="A99" s="639"/>
      <c r="B99" s="115">
        <v>-7.4999999999999997E-2</v>
      </c>
      <c r="C99" s="515">
        <f>Aprēķini!B$194</f>
        <v>-591813.80000000005</v>
      </c>
      <c r="D99" s="515">
        <f>Aprēķini!C$194</f>
        <v>-350720.66395739687</v>
      </c>
      <c r="E99" s="515">
        <f>Aprēķini!D$194</f>
        <v>-520570.17406634899</v>
      </c>
      <c r="F99" s="515">
        <f>Aprēķini!E$194</f>
        <v>19247.173944001472</v>
      </c>
      <c r="G99" s="515">
        <f>Aprēķini!F$194</f>
        <v>19086.548229935772</v>
      </c>
      <c r="H99" s="515">
        <f>Aprēķini!G$194</f>
        <v>19504.868073486694</v>
      </c>
      <c r="I99" s="515">
        <f>Aprēķini!H$194</f>
        <v>19428.752803105002</v>
      </c>
      <c r="J99" s="515">
        <f>Aprēķini!I$194</f>
        <v>19024.380705312749</v>
      </c>
      <c r="K99" s="515">
        <f>Aprēķini!J$194</f>
        <v>23133.372164607688</v>
      </c>
      <c r="L99" s="515">
        <f>Aprēķini!K$194</f>
        <v>23425.416171360608</v>
      </c>
      <c r="M99" s="515">
        <f>Aprēķini!L$194</f>
        <v>23240.103195111871</v>
      </c>
      <c r="N99" s="515">
        <f>Aprēķini!M$194</f>
        <v>23401.642590862532</v>
      </c>
      <c r="O99" s="515">
        <f>Aprēķini!N$194</f>
        <v>23214.758254067499</v>
      </c>
      <c r="P99" s="515">
        <f>Aprēķini!O$194</f>
        <v>18276.612498203049</v>
      </c>
      <c r="Q99" s="515">
        <f>Aprēķini!P$194</f>
        <v>18194.399950333191</v>
      </c>
      <c r="R99" s="515">
        <f>Aprēķini!Q$194</f>
        <v>20887.006378460395</v>
      </c>
      <c r="S99" s="515">
        <f>Aprēķini!R$194</f>
        <v>19249.890941338632</v>
      </c>
      <c r="T99" s="515">
        <f>Aprēķini!S$194</f>
        <v>23571.910812016918</v>
      </c>
      <c r="U99" s="515">
        <f>Aprēķini!T$194</f>
        <v>18836.484997054347</v>
      </c>
      <c r="V99" s="515">
        <f>Aprēķini!U$194</f>
        <v>18977.420077184997</v>
      </c>
      <c r="W99" s="515">
        <f>Aprēķini!V$194</f>
        <v>18640.750601324151</v>
      </c>
      <c r="X99" s="515">
        <f>Aprēķini!W$194</f>
        <v>18584.833309455113</v>
      </c>
      <c r="Y99" s="515">
        <f>Aprēķini!X$194</f>
        <v>21302.163633036693</v>
      </c>
      <c r="Z99" s="515">
        <f>Aprēķini!Y$194</f>
        <v>21246.246341168007</v>
      </c>
      <c r="AA99" s="515">
        <f>Aprēķini!Z$194</f>
        <v>20841.905316753226</v>
      </c>
      <c r="AB99" s="515">
        <f>Aprēķini!AA$194</f>
        <v>21132.840396883556</v>
      </c>
      <c r="AC99" s="515">
        <f>Aprēķini!AB$194</f>
        <v>20944.847133466217</v>
      </c>
      <c r="AD99" s="515">
        <f>Aprēķini!AC$194</f>
        <v>23326.348023100349</v>
      </c>
      <c r="AE99" s="515">
        <f>Aprēķini!AD$194</f>
        <v>37979.157355067888</v>
      </c>
      <c r="AF99" s="515">
        <f>Aprēķini!AE$194</f>
        <v>37863.849684194473</v>
      </c>
      <c r="AG99" s="515">
        <f>Aprēķini!AF$194</f>
        <v>28707.906406966285</v>
      </c>
      <c r="AH99" s="515">
        <f>Aprēķini!AG$194</f>
        <v>577251.55153647112</v>
      </c>
      <c r="AI99" s="515">
        <f>Aprēķini!AH$194</f>
        <v>28517.196665976007</v>
      </c>
    </row>
    <row r="100" spans="1:45" ht="12.75" x14ac:dyDescent="0.2">
      <c r="A100" s="640"/>
      <c r="B100" s="115">
        <v>-0.1</v>
      </c>
      <c r="C100" s="515">
        <f>Aprēķini!B$194</f>
        <v>-591813.80000000005</v>
      </c>
      <c r="D100" s="515">
        <f>Aprēķini!C$194</f>
        <v>-350720.66395739687</v>
      </c>
      <c r="E100" s="515">
        <f>Aprēķini!D$194</f>
        <v>-520570.17406634899</v>
      </c>
      <c r="F100" s="515">
        <f>Aprēķini!E$194</f>
        <v>19247.173944001472</v>
      </c>
      <c r="G100" s="515">
        <f>Aprēķini!F$194</f>
        <v>19086.548229935772</v>
      </c>
      <c r="H100" s="515">
        <f>Aprēķini!G$194</f>
        <v>19504.868073486694</v>
      </c>
      <c r="I100" s="515">
        <f>Aprēķini!H$194</f>
        <v>19428.752803105002</v>
      </c>
      <c r="J100" s="515">
        <f>Aprēķini!I$194</f>
        <v>19024.380705312749</v>
      </c>
      <c r="K100" s="515">
        <f>Aprēķini!J$194</f>
        <v>23133.372164607688</v>
      </c>
      <c r="L100" s="515">
        <f>Aprēķini!K$194</f>
        <v>23425.416171360608</v>
      </c>
      <c r="M100" s="515">
        <f>Aprēķini!L$194</f>
        <v>23240.103195111871</v>
      </c>
      <c r="N100" s="515">
        <f>Aprēķini!M$194</f>
        <v>23401.642590862532</v>
      </c>
      <c r="O100" s="515">
        <f>Aprēķini!N$194</f>
        <v>23214.758254067499</v>
      </c>
      <c r="P100" s="515">
        <f>Aprēķini!O$194</f>
        <v>18276.612498203049</v>
      </c>
      <c r="Q100" s="515">
        <f>Aprēķini!P$194</f>
        <v>18194.399950333191</v>
      </c>
      <c r="R100" s="515">
        <f>Aprēķini!Q$194</f>
        <v>20887.006378460395</v>
      </c>
      <c r="S100" s="515">
        <f>Aprēķini!R$194</f>
        <v>19249.890941338632</v>
      </c>
      <c r="T100" s="515">
        <f>Aprēķini!S$194</f>
        <v>23571.910812016918</v>
      </c>
      <c r="U100" s="515">
        <f>Aprēķini!T$194</f>
        <v>18836.484997054347</v>
      </c>
      <c r="V100" s="515">
        <f>Aprēķini!U$194</f>
        <v>18977.420077184997</v>
      </c>
      <c r="W100" s="515">
        <f>Aprēķini!V$194</f>
        <v>18640.750601324151</v>
      </c>
      <c r="X100" s="515">
        <f>Aprēķini!W$194</f>
        <v>18584.833309455113</v>
      </c>
      <c r="Y100" s="515">
        <f>Aprēķini!X$194</f>
        <v>21302.163633036693</v>
      </c>
      <c r="Z100" s="515">
        <f>Aprēķini!Y$194</f>
        <v>21246.246341168007</v>
      </c>
      <c r="AA100" s="515">
        <f>Aprēķini!Z$194</f>
        <v>20841.905316753226</v>
      </c>
      <c r="AB100" s="515">
        <f>Aprēķini!AA$194</f>
        <v>21132.840396883556</v>
      </c>
      <c r="AC100" s="515">
        <f>Aprēķini!AB$194</f>
        <v>20944.847133466217</v>
      </c>
      <c r="AD100" s="515">
        <f>Aprēķini!AC$194</f>
        <v>23326.348023100349</v>
      </c>
      <c r="AE100" s="515">
        <f>Aprēķini!AD$194</f>
        <v>37979.157355067888</v>
      </c>
      <c r="AF100" s="515">
        <f>Aprēķini!AE$194</f>
        <v>37863.849684194473</v>
      </c>
      <c r="AG100" s="515">
        <f>Aprēķini!AF$194</f>
        <v>28707.906406966285</v>
      </c>
      <c r="AH100" s="515">
        <f>Aprēķini!AG$194</f>
        <v>577251.55153647112</v>
      </c>
      <c r="AI100" s="515">
        <f>Aprēķini!AH$194</f>
        <v>28517.196665976007</v>
      </c>
    </row>
    <row r="101" spans="1:45" ht="12.75" x14ac:dyDescent="0.2">
      <c r="A101" s="113" t="s">
        <v>186</v>
      </c>
      <c r="B101" s="115">
        <v>0.1</v>
      </c>
      <c r="C101" s="515">
        <f>Aprēķini!B$246+C$112*'Jutīguma analīze_IIA'!$B101</f>
        <v>33959.650906969233</v>
      </c>
      <c r="D101" s="515">
        <f>Aprēķini!C$246+D$112*'Jutīguma analīze_IIA'!$B101</f>
        <v>19096.322042603133</v>
      </c>
      <c r="E101" s="515">
        <f>Aprēķini!D$246+E$112*'Jutīguma analīze_IIA'!$B101</f>
        <v>33871.830933651014</v>
      </c>
      <c r="F101" s="515">
        <f>Aprēķini!E$246+F$112*'Jutīguma analīze_IIA'!$B101</f>
        <v>8369.5376273348047</v>
      </c>
      <c r="G101" s="515">
        <f>Aprēķini!F$246+G$112*'Jutīguma analīze_IIA'!$B101</f>
        <v>8248.8147016024377</v>
      </c>
      <c r="H101" s="515">
        <f>Aprēķini!G$246+H$112*'Jutīguma analīze_IIA'!$B101</f>
        <v>8707.0373334866927</v>
      </c>
      <c r="I101" s="515">
        <f>Aprēķini!H$246+I$112*'Jutīguma analīze_IIA'!$B101</f>
        <v>8670.8248514383376</v>
      </c>
      <c r="J101" s="515">
        <f>Aprēķini!I$246+J$112*'Jutīguma analīze_IIA'!$B101</f>
        <v>8306.3555419794175</v>
      </c>
      <c r="K101" s="515">
        <f>Aprēķini!J$246+K$112*'Jutīguma analīze_IIA'!$B101</f>
        <v>12455.249789607689</v>
      </c>
      <c r="L101" s="515">
        <f>Aprēķini!K$246+L$112*'Jutīguma analīze_IIA'!$B101</f>
        <v>12787.196584693942</v>
      </c>
      <c r="M101" s="515">
        <f>Aprēķini!L$246+M$112*'Jutīguma analīze_IIA'!$B101</f>
        <v>12641.786396778538</v>
      </c>
      <c r="N101" s="515">
        <f>Aprēķini!M$246+N$112*'Jutīguma analīze_IIA'!$B101</f>
        <v>12843.228580862531</v>
      </c>
      <c r="O101" s="515">
        <f>Aprēķini!N$246+O$112*'Jutīguma analīze_IIA'!$B101</f>
        <v>12696.247032400832</v>
      </c>
      <c r="P101" s="515">
        <f>Aprēķini!O$246+P$112*'Jutīguma analīze_IIA'!$B101</f>
        <v>7798.0040648697177</v>
      </c>
      <c r="Q101" s="515">
        <f>Aprēķini!P$246+Q$112*'Jutīguma analīze_IIA'!$B101</f>
        <v>7755.6943053331925</v>
      </c>
      <c r="R101" s="515">
        <f>Aprēķini!Q$246+R$112*'Jutīguma analīze_IIA'!$B101</f>
        <v>10488.20352179373</v>
      </c>
      <c r="S101" s="515">
        <f>Aprēķini!R$246+S$112*'Jutīguma analīze_IIA'!$B101</f>
        <v>8890.9908730052994</v>
      </c>
      <c r="T101" s="515">
        <f>Aprēķini!S$246+T$112*'Jutīguma analīze_IIA'!$B101</f>
        <v>13252.913532016919</v>
      </c>
      <c r="U101" s="515">
        <f>Aprēķini!T$246+U$112*'Jutīguma analīze_IIA'!$B101</f>
        <v>8557.3905053876806</v>
      </c>
      <c r="V101" s="515">
        <f>Aprēķini!U$246+V$112*'Jutīguma analīze_IIA'!$B101</f>
        <v>8738.2283738516671</v>
      </c>
      <c r="W101" s="515">
        <f>Aprēķini!V$246+W$112*'Jutīguma analīze_IIA'!$B101</f>
        <v>8441.4616863241536</v>
      </c>
      <c r="X101" s="515">
        <f>Aprēķini!W$246+X$112*'Jutīguma analīze_IIA'!$B101</f>
        <v>8425.4471827884481</v>
      </c>
      <c r="Y101" s="515">
        <f>Aprēķini!X$246+Y$112*'Jutīguma analīze_IIA'!$B101</f>
        <v>11182.680294703361</v>
      </c>
      <c r="Z101" s="515">
        <f>Aprēķini!Y$246+Z$112*'Jutīguma analīze_IIA'!$B101</f>
        <v>11166.665791168009</v>
      </c>
      <c r="AA101" s="515">
        <f>Aprēķini!Z$246+AA$112*'Jutīguma analīze_IIA'!$B101</f>
        <v>10802.22755508656</v>
      </c>
      <c r="AB101" s="515">
        <f>Aprēķini!AA$246+AB$112*'Jutīguma analīze_IIA'!$B101</f>
        <v>11133.065423550222</v>
      </c>
      <c r="AC101" s="515">
        <f>Aprēķini!AB$246+AC$112*'Jutīguma analīze_IIA'!$B101</f>
        <v>10984.974948466221</v>
      </c>
      <c r="AD101" s="515">
        <f>Aprēķini!AC$246+AD$112*'Jutīguma analīze_IIA'!$B101</f>
        <v>13406.378626433685</v>
      </c>
      <c r="AE101" s="515">
        <f>Aprēķini!AD$246+AE$112*'Jutīguma analīze_IIA'!$B101</f>
        <v>28099.090746734568</v>
      </c>
      <c r="AF101" s="515">
        <f>Aprēķini!AE$246+AF$112*'Jutīguma analīze_IIA'!$B101</f>
        <v>28023.685864194485</v>
      </c>
      <c r="AG101" s="515">
        <f>Aprēķini!AF$246+AG$112*'Jutīguma analīze_IIA'!$B101</f>
        <v>18907.645375299631</v>
      </c>
      <c r="AH101" s="515">
        <f>Aprēķini!AG$246+AH$112*'Jutīguma analīze_IIA'!$B101</f>
        <v>567491.19329313783</v>
      </c>
      <c r="AI101" s="515">
        <f>Aprēķini!AH$246+AI$112*'Jutīguma analīze_IIA'!$B101</f>
        <v>18796.741210976019</v>
      </c>
    </row>
    <row r="102" spans="1:45" ht="12.75" x14ac:dyDescent="0.2">
      <c r="A102" s="638"/>
      <c r="B102" s="115">
        <v>7.4999999999999997E-2</v>
      </c>
      <c r="C102" s="515">
        <f>Aprēķini!B$246+C$112*'Jutīguma analīze_IIA'!$B102</f>
        <v>25159.092180226929</v>
      </c>
      <c r="D102" s="515">
        <f>Aprēķini!C$246+D$112*'Jutīguma analīze_IIA'!$B102</f>
        <v>13911.547042603128</v>
      </c>
      <c r="E102" s="515">
        <f>Aprēķini!D$246+E$112*'Jutīguma analīze_IIA'!$B102</f>
        <v>25702.580933651017</v>
      </c>
      <c r="F102" s="515">
        <f>Aprēķini!E$246+F$112*'Jutīguma analīze_IIA'!$B102</f>
        <v>8369.5376273348047</v>
      </c>
      <c r="G102" s="515">
        <f>Aprēķini!F$246+G$112*'Jutīguma analīze_IIA'!$B102</f>
        <v>8248.8147016024377</v>
      </c>
      <c r="H102" s="515">
        <f>Aprēķini!G$246+H$112*'Jutīguma analīze_IIA'!$B102</f>
        <v>8707.0373334866927</v>
      </c>
      <c r="I102" s="515">
        <f>Aprēķini!H$246+I$112*'Jutīguma analīze_IIA'!$B102</f>
        <v>8670.8248514383376</v>
      </c>
      <c r="J102" s="515">
        <f>Aprēķini!I$246+J$112*'Jutīguma analīze_IIA'!$B102</f>
        <v>8306.3555419794175</v>
      </c>
      <c r="K102" s="515">
        <f>Aprēķini!J$246+K$112*'Jutīguma analīze_IIA'!$B102</f>
        <v>12455.249789607689</v>
      </c>
      <c r="L102" s="515">
        <f>Aprēķini!K$246+L$112*'Jutīguma analīze_IIA'!$B102</f>
        <v>12787.196584693942</v>
      </c>
      <c r="M102" s="515">
        <f>Aprēķini!L$246+M$112*'Jutīguma analīze_IIA'!$B102</f>
        <v>12641.786396778538</v>
      </c>
      <c r="N102" s="515">
        <f>Aprēķini!M$246+N$112*'Jutīguma analīze_IIA'!$B102</f>
        <v>12843.228580862531</v>
      </c>
      <c r="O102" s="515">
        <f>Aprēķini!N$246+O$112*'Jutīguma analīze_IIA'!$B102</f>
        <v>12696.247032400832</v>
      </c>
      <c r="P102" s="515">
        <f>Aprēķini!O$246+P$112*'Jutīguma analīze_IIA'!$B102</f>
        <v>7798.0040648697177</v>
      </c>
      <c r="Q102" s="515">
        <f>Aprēķini!P$246+Q$112*'Jutīguma analīze_IIA'!$B102</f>
        <v>7755.6943053331925</v>
      </c>
      <c r="R102" s="515">
        <f>Aprēķini!Q$246+R$112*'Jutīguma analīze_IIA'!$B102</f>
        <v>10488.20352179373</v>
      </c>
      <c r="S102" s="515">
        <f>Aprēķini!R$246+S$112*'Jutīguma analīze_IIA'!$B102</f>
        <v>8890.9908730052994</v>
      </c>
      <c r="T102" s="515">
        <f>Aprēķini!S$246+T$112*'Jutīguma analīze_IIA'!$B102</f>
        <v>13252.913532016919</v>
      </c>
      <c r="U102" s="515">
        <f>Aprēķini!T$246+U$112*'Jutīguma analīze_IIA'!$B102</f>
        <v>8557.3905053876806</v>
      </c>
      <c r="V102" s="515">
        <f>Aprēķini!U$246+V$112*'Jutīguma analīze_IIA'!$B102</f>
        <v>8738.2283738516671</v>
      </c>
      <c r="W102" s="515">
        <f>Aprēķini!V$246+W$112*'Jutīguma analīze_IIA'!$B102</f>
        <v>8441.4616863241536</v>
      </c>
      <c r="X102" s="515">
        <f>Aprēķini!W$246+X$112*'Jutīguma analīze_IIA'!$B102</f>
        <v>8425.4471827884481</v>
      </c>
      <c r="Y102" s="515">
        <f>Aprēķini!X$246+Y$112*'Jutīguma analīze_IIA'!$B102</f>
        <v>11182.680294703361</v>
      </c>
      <c r="Z102" s="515">
        <f>Aprēķini!Y$246+Z$112*'Jutīguma analīze_IIA'!$B102</f>
        <v>11166.665791168009</v>
      </c>
      <c r="AA102" s="515">
        <f>Aprēķini!Z$246+AA$112*'Jutīguma analīze_IIA'!$B102</f>
        <v>10802.22755508656</v>
      </c>
      <c r="AB102" s="515">
        <f>Aprēķini!AA$246+AB$112*'Jutīguma analīze_IIA'!$B102</f>
        <v>11133.065423550222</v>
      </c>
      <c r="AC102" s="515">
        <f>Aprēķini!AB$246+AC$112*'Jutīguma analīze_IIA'!$B102</f>
        <v>10984.974948466221</v>
      </c>
      <c r="AD102" s="515">
        <f>Aprēķini!AC$246+AD$112*'Jutīguma analīze_IIA'!$B102</f>
        <v>13406.378626433685</v>
      </c>
      <c r="AE102" s="515">
        <f>Aprēķini!AD$246+AE$112*'Jutīguma analīze_IIA'!$B102</f>
        <v>28099.090746734568</v>
      </c>
      <c r="AF102" s="515">
        <f>Aprēķini!AE$246+AF$112*'Jutīguma analīze_IIA'!$B102</f>
        <v>28023.685864194485</v>
      </c>
      <c r="AG102" s="515">
        <f>Aprēķini!AF$246+AG$112*'Jutīguma analīze_IIA'!$B102</f>
        <v>18907.645375299631</v>
      </c>
      <c r="AH102" s="515">
        <f>Aprēķini!AG$246+AH$112*'Jutīguma analīze_IIA'!$B102</f>
        <v>567491.19329313783</v>
      </c>
      <c r="AI102" s="515">
        <f>Aprēķini!AH$246+AI$112*'Jutīguma analīze_IIA'!$B102</f>
        <v>18796.741210976019</v>
      </c>
    </row>
    <row r="103" spans="1:45" ht="12.75" x14ac:dyDescent="0.2">
      <c r="A103" s="642"/>
      <c r="B103" s="115">
        <v>0.05</v>
      </c>
      <c r="C103" s="515">
        <f>Aprēķini!B$246+C$112*'Jutīguma analīze_IIA'!$B103</f>
        <v>16358.533453484617</v>
      </c>
      <c r="D103" s="515">
        <f>Aprēķini!C$246+D$112*'Jutīguma analīze_IIA'!$B103</f>
        <v>8726.7720426031301</v>
      </c>
      <c r="E103" s="515">
        <f>Aprēķini!D$246+E$112*'Jutīguma analīze_IIA'!$B103</f>
        <v>17533.330933651017</v>
      </c>
      <c r="F103" s="515">
        <f>Aprēķini!E$246+F$112*'Jutīguma analīze_IIA'!$B103</f>
        <v>8369.5376273348047</v>
      </c>
      <c r="G103" s="515">
        <f>Aprēķini!F$246+G$112*'Jutīguma analīze_IIA'!$B103</f>
        <v>8248.8147016024377</v>
      </c>
      <c r="H103" s="515">
        <f>Aprēķini!G$246+H$112*'Jutīguma analīze_IIA'!$B103</f>
        <v>8707.0373334866927</v>
      </c>
      <c r="I103" s="515">
        <f>Aprēķini!H$246+I$112*'Jutīguma analīze_IIA'!$B103</f>
        <v>8670.8248514383376</v>
      </c>
      <c r="J103" s="515">
        <f>Aprēķini!I$246+J$112*'Jutīguma analīze_IIA'!$B103</f>
        <v>8306.3555419794175</v>
      </c>
      <c r="K103" s="515">
        <f>Aprēķini!J$246+K$112*'Jutīguma analīze_IIA'!$B103</f>
        <v>12455.249789607689</v>
      </c>
      <c r="L103" s="515">
        <f>Aprēķini!K$246+L$112*'Jutīguma analīze_IIA'!$B103</f>
        <v>12787.196584693942</v>
      </c>
      <c r="M103" s="515">
        <f>Aprēķini!L$246+M$112*'Jutīguma analīze_IIA'!$B103</f>
        <v>12641.786396778538</v>
      </c>
      <c r="N103" s="515">
        <f>Aprēķini!M$246+N$112*'Jutīguma analīze_IIA'!$B103</f>
        <v>12843.228580862531</v>
      </c>
      <c r="O103" s="515">
        <f>Aprēķini!N$246+O$112*'Jutīguma analīze_IIA'!$B103</f>
        <v>12696.247032400832</v>
      </c>
      <c r="P103" s="515">
        <f>Aprēķini!O$246+P$112*'Jutīguma analīze_IIA'!$B103</f>
        <v>7798.0040648697177</v>
      </c>
      <c r="Q103" s="515">
        <f>Aprēķini!P$246+Q$112*'Jutīguma analīze_IIA'!$B103</f>
        <v>7755.6943053331925</v>
      </c>
      <c r="R103" s="515">
        <f>Aprēķini!Q$246+R$112*'Jutīguma analīze_IIA'!$B103</f>
        <v>10488.20352179373</v>
      </c>
      <c r="S103" s="515">
        <f>Aprēķini!R$246+S$112*'Jutīguma analīze_IIA'!$B103</f>
        <v>8890.9908730052994</v>
      </c>
      <c r="T103" s="515">
        <f>Aprēķini!S$246+T$112*'Jutīguma analīze_IIA'!$B103</f>
        <v>13252.913532016919</v>
      </c>
      <c r="U103" s="515">
        <f>Aprēķini!T$246+U$112*'Jutīguma analīze_IIA'!$B103</f>
        <v>8557.3905053876806</v>
      </c>
      <c r="V103" s="515">
        <f>Aprēķini!U$246+V$112*'Jutīguma analīze_IIA'!$B103</f>
        <v>8738.2283738516671</v>
      </c>
      <c r="W103" s="515">
        <f>Aprēķini!V$246+W$112*'Jutīguma analīze_IIA'!$B103</f>
        <v>8441.4616863241536</v>
      </c>
      <c r="X103" s="515">
        <f>Aprēķini!W$246+X$112*'Jutīguma analīze_IIA'!$B103</f>
        <v>8425.4471827884481</v>
      </c>
      <c r="Y103" s="515">
        <f>Aprēķini!X$246+Y$112*'Jutīguma analīze_IIA'!$B103</f>
        <v>11182.680294703361</v>
      </c>
      <c r="Z103" s="515">
        <f>Aprēķini!Y$246+Z$112*'Jutīguma analīze_IIA'!$B103</f>
        <v>11166.665791168009</v>
      </c>
      <c r="AA103" s="515">
        <f>Aprēķini!Z$246+AA$112*'Jutīguma analīze_IIA'!$B103</f>
        <v>10802.22755508656</v>
      </c>
      <c r="AB103" s="515">
        <f>Aprēķini!AA$246+AB$112*'Jutīguma analīze_IIA'!$B103</f>
        <v>11133.065423550222</v>
      </c>
      <c r="AC103" s="515">
        <f>Aprēķini!AB$246+AC$112*'Jutīguma analīze_IIA'!$B103</f>
        <v>10984.974948466221</v>
      </c>
      <c r="AD103" s="515">
        <f>Aprēķini!AC$246+AD$112*'Jutīguma analīze_IIA'!$B103</f>
        <v>13406.378626433685</v>
      </c>
      <c r="AE103" s="515">
        <f>Aprēķini!AD$246+AE$112*'Jutīguma analīze_IIA'!$B103</f>
        <v>28099.090746734568</v>
      </c>
      <c r="AF103" s="515">
        <f>Aprēķini!AE$246+AF$112*'Jutīguma analīze_IIA'!$B103</f>
        <v>28023.685864194485</v>
      </c>
      <c r="AG103" s="515">
        <f>Aprēķini!AF$246+AG$112*'Jutīguma analīze_IIA'!$B103</f>
        <v>18907.645375299631</v>
      </c>
      <c r="AH103" s="515">
        <f>Aprēķini!AG$246+AH$112*'Jutīguma analīze_IIA'!$B103</f>
        <v>567491.19329313783</v>
      </c>
      <c r="AI103" s="515">
        <f>Aprēķini!AH$246+AI$112*'Jutīguma analīze_IIA'!$B103</f>
        <v>18796.741210976019</v>
      </c>
    </row>
    <row r="104" spans="1:45" ht="12.75" x14ac:dyDescent="0.2">
      <c r="A104" s="642"/>
      <c r="B104" s="115">
        <v>2.5000000000000001E-2</v>
      </c>
      <c r="C104" s="515">
        <f>Aprēķini!B$246+C$112*'Jutīguma analīze_IIA'!$B104</f>
        <v>7557.974726742309</v>
      </c>
      <c r="D104" s="515">
        <f>Aprēķini!C$246+D$112*'Jutīguma analīze_IIA'!$B104</f>
        <v>3541.9970426031305</v>
      </c>
      <c r="E104" s="515">
        <f>Aprēķini!D$246+E$112*'Jutīguma analīze_IIA'!$B104</f>
        <v>9364.0809336510174</v>
      </c>
      <c r="F104" s="515">
        <f>Aprēķini!E$246+F$112*'Jutīguma analīze_IIA'!$B104</f>
        <v>8369.5376273348047</v>
      </c>
      <c r="G104" s="515">
        <f>Aprēķini!F$246+G$112*'Jutīguma analīze_IIA'!$B104</f>
        <v>8248.8147016024377</v>
      </c>
      <c r="H104" s="515">
        <f>Aprēķini!G$246+H$112*'Jutīguma analīze_IIA'!$B104</f>
        <v>8707.0373334866927</v>
      </c>
      <c r="I104" s="515">
        <f>Aprēķini!H$246+I$112*'Jutīguma analīze_IIA'!$B104</f>
        <v>8670.8248514383376</v>
      </c>
      <c r="J104" s="515">
        <f>Aprēķini!I$246+J$112*'Jutīguma analīze_IIA'!$B104</f>
        <v>8306.3555419794175</v>
      </c>
      <c r="K104" s="515">
        <f>Aprēķini!J$246+K$112*'Jutīguma analīze_IIA'!$B104</f>
        <v>12455.249789607689</v>
      </c>
      <c r="L104" s="515">
        <f>Aprēķini!K$246+L$112*'Jutīguma analīze_IIA'!$B104</f>
        <v>12787.196584693942</v>
      </c>
      <c r="M104" s="515">
        <f>Aprēķini!L$246+M$112*'Jutīguma analīze_IIA'!$B104</f>
        <v>12641.786396778538</v>
      </c>
      <c r="N104" s="515">
        <f>Aprēķini!M$246+N$112*'Jutīguma analīze_IIA'!$B104</f>
        <v>12843.228580862531</v>
      </c>
      <c r="O104" s="515">
        <f>Aprēķini!N$246+O$112*'Jutīguma analīze_IIA'!$B104</f>
        <v>12696.247032400832</v>
      </c>
      <c r="P104" s="515">
        <f>Aprēķini!O$246+P$112*'Jutīguma analīze_IIA'!$B104</f>
        <v>7798.0040648697177</v>
      </c>
      <c r="Q104" s="515">
        <f>Aprēķini!P$246+Q$112*'Jutīguma analīze_IIA'!$B104</f>
        <v>7755.6943053331925</v>
      </c>
      <c r="R104" s="515">
        <f>Aprēķini!Q$246+R$112*'Jutīguma analīze_IIA'!$B104</f>
        <v>10488.20352179373</v>
      </c>
      <c r="S104" s="515">
        <f>Aprēķini!R$246+S$112*'Jutīguma analīze_IIA'!$B104</f>
        <v>8890.9908730052994</v>
      </c>
      <c r="T104" s="515">
        <f>Aprēķini!S$246+T$112*'Jutīguma analīze_IIA'!$B104</f>
        <v>13252.913532016919</v>
      </c>
      <c r="U104" s="515">
        <f>Aprēķini!T$246+U$112*'Jutīguma analīze_IIA'!$B104</f>
        <v>8557.3905053876806</v>
      </c>
      <c r="V104" s="515">
        <f>Aprēķini!U$246+V$112*'Jutīguma analīze_IIA'!$B104</f>
        <v>8738.2283738516671</v>
      </c>
      <c r="W104" s="515">
        <f>Aprēķini!V$246+W$112*'Jutīguma analīze_IIA'!$B104</f>
        <v>8441.4616863241536</v>
      </c>
      <c r="X104" s="515">
        <f>Aprēķini!W$246+X$112*'Jutīguma analīze_IIA'!$B104</f>
        <v>8425.4471827884481</v>
      </c>
      <c r="Y104" s="515">
        <f>Aprēķini!X$246+Y$112*'Jutīguma analīze_IIA'!$B104</f>
        <v>11182.680294703361</v>
      </c>
      <c r="Z104" s="515">
        <f>Aprēķini!Y$246+Z$112*'Jutīguma analīze_IIA'!$B104</f>
        <v>11166.665791168009</v>
      </c>
      <c r="AA104" s="515">
        <f>Aprēķini!Z$246+AA$112*'Jutīguma analīze_IIA'!$B104</f>
        <v>10802.22755508656</v>
      </c>
      <c r="AB104" s="515">
        <f>Aprēķini!AA$246+AB$112*'Jutīguma analīze_IIA'!$B104</f>
        <v>11133.065423550222</v>
      </c>
      <c r="AC104" s="515">
        <f>Aprēķini!AB$246+AC$112*'Jutīguma analīze_IIA'!$B104</f>
        <v>10984.974948466221</v>
      </c>
      <c r="AD104" s="515">
        <f>Aprēķini!AC$246+AD$112*'Jutīguma analīze_IIA'!$B104</f>
        <v>13406.378626433685</v>
      </c>
      <c r="AE104" s="515">
        <f>Aprēķini!AD$246+AE$112*'Jutīguma analīze_IIA'!$B104</f>
        <v>28099.090746734568</v>
      </c>
      <c r="AF104" s="515">
        <f>Aprēķini!AE$246+AF$112*'Jutīguma analīze_IIA'!$B104</f>
        <v>28023.685864194485</v>
      </c>
      <c r="AG104" s="515">
        <f>Aprēķini!AF$246+AG$112*'Jutīguma analīze_IIA'!$B104</f>
        <v>18907.645375299631</v>
      </c>
      <c r="AH104" s="515">
        <f>Aprēķini!AG$246+AH$112*'Jutīguma analīze_IIA'!$B104</f>
        <v>567491.19329313783</v>
      </c>
      <c r="AI104" s="515">
        <f>Aprēķini!AH$246+AI$112*'Jutīguma analīze_IIA'!$B104</f>
        <v>18796.741210976019</v>
      </c>
    </row>
    <row r="105" spans="1:45" ht="12.75" x14ac:dyDescent="0.2">
      <c r="A105" s="642"/>
      <c r="B105" s="115">
        <v>0.01</v>
      </c>
      <c r="C105" s="515">
        <f>Aprēķini!B$246+C$112*'Jutīguma analīze_IIA'!$B105</f>
        <v>2277.6394906969235</v>
      </c>
      <c r="D105" s="515">
        <f>Aprēķini!C$246+D$112*'Jutīguma analīze_IIA'!$B105</f>
        <v>431.13204260312955</v>
      </c>
      <c r="E105" s="515">
        <f>Aprēķini!D$246+E$112*'Jutīguma analīze_IIA'!$B105</f>
        <v>4462.5309336510163</v>
      </c>
      <c r="F105" s="515">
        <f>Aprēķini!E$246+F$112*'Jutīguma analīze_IIA'!$B105</f>
        <v>8369.5376273348047</v>
      </c>
      <c r="G105" s="515">
        <f>Aprēķini!F$246+G$112*'Jutīguma analīze_IIA'!$B105</f>
        <v>8248.8147016024377</v>
      </c>
      <c r="H105" s="515">
        <f>Aprēķini!G$246+H$112*'Jutīguma analīze_IIA'!$B105</f>
        <v>8707.0373334866927</v>
      </c>
      <c r="I105" s="515">
        <f>Aprēķini!H$246+I$112*'Jutīguma analīze_IIA'!$B105</f>
        <v>8670.8248514383376</v>
      </c>
      <c r="J105" s="515">
        <f>Aprēķini!I$246+J$112*'Jutīguma analīze_IIA'!$B105</f>
        <v>8306.3555419794175</v>
      </c>
      <c r="K105" s="515">
        <f>Aprēķini!J$246+K$112*'Jutīguma analīze_IIA'!$B105</f>
        <v>12455.249789607689</v>
      </c>
      <c r="L105" s="515">
        <f>Aprēķini!K$246+L$112*'Jutīguma analīze_IIA'!$B105</f>
        <v>12787.196584693942</v>
      </c>
      <c r="M105" s="515">
        <f>Aprēķini!L$246+M$112*'Jutīguma analīze_IIA'!$B105</f>
        <v>12641.786396778538</v>
      </c>
      <c r="N105" s="515">
        <f>Aprēķini!M$246+N$112*'Jutīguma analīze_IIA'!$B105</f>
        <v>12843.228580862531</v>
      </c>
      <c r="O105" s="515">
        <f>Aprēķini!N$246+O$112*'Jutīguma analīze_IIA'!$B105</f>
        <v>12696.247032400832</v>
      </c>
      <c r="P105" s="515">
        <f>Aprēķini!O$246+P$112*'Jutīguma analīze_IIA'!$B105</f>
        <v>7798.0040648697177</v>
      </c>
      <c r="Q105" s="515">
        <f>Aprēķini!P$246+Q$112*'Jutīguma analīze_IIA'!$B105</f>
        <v>7755.6943053331925</v>
      </c>
      <c r="R105" s="515">
        <f>Aprēķini!Q$246+R$112*'Jutīguma analīze_IIA'!$B105</f>
        <v>10488.20352179373</v>
      </c>
      <c r="S105" s="515">
        <f>Aprēķini!R$246+S$112*'Jutīguma analīze_IIA'!$B105</f>
        <v>8890.9908730052994</v>
      </c>
      <c r="T105" s="515">
        <f>Aprēķini!S$246+T$112*'Jutīguma analīze_IIA'!$B105</f>
        <v>13252.913532016919</v>
      </c>
      <c r="U105" s="515">
        <f>Aprēķini!T$246+U$112*'Jutīguma analīze_IIA'!$B105</f>
        <v>8557.3905053876806</v>
      </c>
      <c r="V105" s="515">
        <f>Aprēķini!U$246+V$112*'Jutīguma analīze_IIA'!$B105</f>
        <v>8738.2283738516671</v>
      </c>
      <c r="W105" s="515">
        <f>Aprēķini!V$246+W$112*'Jutīguma analīze_IIA'!$B105</f>
        <v>8441.4616863241536</v>
      </c>
      <c r="X105" s="515">
        <f>Aprēķini!W$246+X$112*'Jutīguma analīze_IIA'!$B105</f>
        <v>8425.4471827884481</v>
      </c>
      <c r="Y105" s="515">
        <f>Aprēķini!X$246+Y$112*'Jutīguma analīze_IIA'!$B105</f>
        <v>11182.680294703361</v>
      </c>
      <c r="Z105" s="515">
        <f>Aprēķini!Y$246+Z$112*'Jutīguma analīze_IIA'!$B105</f>
        <v>11166.665791168009</v>
      </c>
      <c r="AA105" s="515">
        <f>Aprēķini!Z$246+AA$112*'Jutīguma analīze_IIA'!$B105</f>
        <v>10802.22755508656</v>
      </c>
      <c r="AB105" s="515">
        <f>Aprēķini!AA$246+AB$112*'Jutīguma analīze_IIA'!$B105</f>
        <v>11133.065423550222</v>
      </c>
      <c r="AC105" s="515">
        <f>Aprēķini!AB$246+AC$112*'Jutīguma analīze_IIA'!$B105</f>
        <v>10984.974948466221</v>
      </c>
      <c r="AD105" s="515">
        <f>Aprēķini!AC$246+AD$112*'Jutīguma analīze_IIA'!$B105</f>
        <v>13406.378626433685</v>
      </c>
      <c r="AE105" s="515">
        <f>Aprēķini!AD$246+AE$112*'Jutīguma analīze_IIA'!$B105</f>
        <v>28099.090746734568</v>
      </c>
      <c r="AF105" s="515">
        <f>Aprēķini!AE$246+AF$112*'Jutīguma analīze_IIA'!$B105</f>
        <v>28023.685864194485</v>
      </c>
      <c r="AG105" s="515">
        <f>Aprēķini!AF$246+AG$112*'Jutīguma analīze_IIA'!$B105</f>
        <v>18907.645375299631</v>
      </c>
      <c r="AH105" s="515">
        <f>Aprēķini!AG$246+AH$112*'Jutīguma analīze_IIA'!$B105</f>
        <v>567491.19329313783</v>
      </c>
      <c r="AI105" s="515">
        <f>Aprēķini!AH$246+AI$112*'Jutīguma analīze_IIA'!$B105</f>
        <v>18796.741210976019</v>
      </c>
    </row>
    <row r="106" spans="1:45" ht="12.75" x14ac:dyDescent="0.2">
      <c r="A106" s="642"/>
      <c r="B106" s="116">
        <v>0</v>
      </c>
      <c r="C106" s="583">
        <f>Aprēķini!B$246+C$112*'Jutīguma analīze_IIA'!$B106</f>
        <v>-1242.5840000000001</v>
      </c>
      <c r="D106" s="583">
        <f>Aprēķini!C$246+D$112*'Jutīguma analīze_IIA'!$B106</f>
        <v>-1642.7779573968703</v>
      </c>
      <c r="E106" s="583">
        <f>Aprēķini!D$246+E$112*'Jutīguma analīze_IIA'!$B106</f>
        <v>1194.8309336510165</v>
      </c>
      <c r="F106" s="583">
        <f>Aprēķini!E$246+F$112*'Jutīguma analīze_IIA'!$B106</f>
        <v>8369.5376273348047</v>
      </c>
      <c r="G106" s="583">
        <f>Aprēķini!F$246+G$112*'Jutīguma analīze_IIA'!$B106</f>
        <v>8248.8147016024377</v>
      </c>
      <c r="H106" s="583">
        <f>Aprēķini!G$246+H$112*'Jutīguma analīze_IIA'!$B106</f>
        <v>8707.0373334866927</v>
      </c>
      <c r="I106" s="583">
        <f>Aprēķini!H$246+I$112*'Jutīguma analīze_IIA'!$B106</f>
        <v>8670.8248514383376</v>
      </c>
      <c r="J106" s="583">
        <f>Aprēķini!I$246+J$112*'Jutīguma analīze_IIA'!$B106</f>
        <v>8306.3555419794175</v>
      </c>
      <c r="K106" s="583">
        <f>Aprēķini!J$246+K$112*'Jutīguma analīze_IIA'!$B106</f>
        <v>12455.249789607689</v>
      </c>
      <c r="L106" s="583">
        <f>Aprēķini!K$246+L$112*'Jutīguma analīze_IIA'!$B106</f>
        <v>12787.196584693942</v>
      </c>
      <c r="M106" s="583">
        <f>Aprēķini!L$246+M$112*'Jutīguma analīze_IIA'!$B106</f>
        <v>12641.786396778538</v>
      </c>
      <c r="N106" s="583">
        <f>Aprēķini!M$246+N$112*'Jutīguma analīze_IIA'!$B106</f>
        <v>12843.228580862531</v>
      </c>
      <c r="O106" s="583">
        <f>Aprēķini!N$246+O$112*'Jutīguma analīze_IIA'!$B106</f>
        <v>12696.247032400832</v>
      </c>
      <c r="P106" s="583">
        <f>Aprēķini!O$246+P$112*'Jutīguma analīze_IIA'!$B106</f>
        <v>7798.0040648697177</v>
      </c>
      <c r="Q106" s="583">
        <f>Aprēķini!P$246+Q$112*'Jutīguma analīze_IIA'!$B106</f>
        <v>7755.6943053331925</v>
      </c>
      <c r="R106" s="583">
        <f>Aprēķini!Q$246+R$112*'Jutīguma analīze_IIA'!$B106</f>
        <v>10488.20352179373</v>
      </c>
      <c r="S106" s="583">
        <f>Aprēķini!R$246+S$112*'Jutīguma analīze_IIA'!$B106</f>
        <v>8890.9908730052994</v>
      </c>
      <c r="T106" s="583">
        <f>Aprēķini!S$246+T$112*'Jutīguma analīze_IIA'!$B106</f>
        <v>13252.913532016919</v>
      </c>
      <c r="U106" s="583">
        <f>Aprēķini!T$246+U$112*'Jutīguma analīze_IIA'!$B106</f>
        <v>8557.3905053876806</v>
      </c>
      <c r="V106" s="583">
        <f>Aprēķini!U$246+V$112*'Jutīguma analīze_IIA'!$B106</f>
        <v>8738.2283738516671</v>
      </c>
      <c r="W106" s="583">
        <f>Aprēķini!V$246+W$112*'Jutīguma analīze_IIA'!$B106</f>
        <v>8441.4616863241536</v>
      </c>
      <c r="X106" s="583">
        <f>Aprēķini!W$246+X$112*'Jutīguma analīze_IIA'!$B106</f>
        <v>8425.4471827884481</v>
      </c>
      <c r="Y106" s="583">
        <f>Aprēķini!X$246+Y$112*'Jutīguma analīze_IIA'!$B106</f>
        <v>11182.680294703361</v>
      </c>
      <c r="Z106" s="583">
        <f>Aprēķini!Y$246+Z$112*'Jutīguma analīze_IIA'!$B106</f>
        <v>11166.665791168009</v>
      </c>
      <c r="AA106" s="583">
        <f>Aprēķini!Z$246+AA$112*'Jutīguma analīze_IIA'!$B106</f>
        <v>10802.22755508656</v>
      </c>
      <c r="AB106" s="583">
        <f>Aprēķini!AA$246+AB$112*'Jutīguma analīze_IIA'!$B106</f>
        <v>11133.065423550222</v>
      </c>
      <c r="AC106" s="583">
        <f>Aprēķini!AB$246+AC$112*'Jutīguma analīze_IIA'!$B106</f>
        <v>10984.974948466221</v>
      </c>
      <c r="AD106" s="583">
        <f>Aprēķini!AC$246+AD$112*'Jutīguma analīze_IIA'!$B106</f>
        <v>13406.378626433685</v>
      </c>
      <c r="AE106" s="583">
        <f>Aprēķini!AD$246+AE$112*'Jutīguma analīze_IIA'!$B106</f>
        <v>28099.090746734568</v>
      </c>
      <c r="AF106" s="583">
        <f>Aprēķini!AE$246+AF$112*'Jutīguma analīze_IIA'!$B106</f>
        <v>28023.685864194485</v>
      </c>
      <c r="AG106" s="583">
        <f>Aprēķini!AF$246+AG$112*'Jutīguma analīze_IIA'!$B106</f>
        <v>18907.645375299631</v>
      </c>
      <c r="AH106" s="583">
        <f>Aprēķini!AG$246+AH$112*'Jutīguma analīze_IIA'!$B106</f>
        <v>567491.19329313783</v>
      </c>
      <c r="AI106" s="583">
        <f>Aprēķini!AH$246+AI$112*'Jutīguma analīze_IIA'!$B106</f>
        <v>18796.741210976019</v>
      </c>
    </row>
    <row r="107" spans="1:45" ht="12.75" x14ac:dyDescent="0.2">
      <c r="A107" s="642"/>
      <c r="B107" s="115">
        <v>-0.01</v>
      </c>
      <c r="C107" s="515">
        <f>Aprēķini!B$246+C$112*'Jutīguma analīze_IIA'!$B107</f>
        <v>-4762.8074906969241</v>
      </c>
      <c r="D107" s="515">
        <f>Aprēķini!C$246+D$112*'Jutīguma analīze_IIA'!$B107</f>
        <v>-3716.6879573968699</v>
      </c>
      <c r="E107" s="515">
        <f>Aprēķini!D$246+E$112*'Jutīguma analīze_IIA'!$B107</f>
        <v>-2072.8690663489838</v>
      </c>
      <c r="F107" s="515">
        <f>Aprēķini!E$246+F$112*'Jutīguma analīze_IIA'!$B107</f>
        <v>8369.5376273348047</v>
      </c>
      <c r="G107" s="515">
        <f>Aprēķini!F$246+G$112*'Jutīguma analīze_IIA'!$B107</f>
        <v>8248.8147016024377</v>
      </c>
      <c r="H107" s="515">
        <f>Aprēķini!G$246+H$112*'Jutīguma analīze_IIA'!$B107</f>
        <v>8707.0373334866927</v>
      </c>
      <c r="I107" s="515">
        <f>Aprēķini!H$246+I$112*'Jutīguma analīze_IIA'!$B107</f>
        <v>8670.8248514383376</v>
      </c>
      <c r="J107" s="515">
        <f>Aprēķini!I$246+J$112*'Jutīguma analīze_IIA'!$B107</f>
        <v>8306.3555419794175</v>
      </c>
      <c r="K107" s="515">
        <f>Aprēķini!J$246+K$112*'Jutīguma analīze_IIA'!$B107</f>
        <v>12455.249789607689</v>
      </c>
      <c r="L107" s="515">
        <f>Aprēķini!K$246+L$112*'Jutīguma analīze_IIA'!$B107</f>
        <v>12787.196584693942</v>
      </c>
      <c r="M107" s="515">
        <f>Aprēķini!L$246+M$112*'Jutīguma analīze_IIA'!$B107</f>
        <v>12641.786396778538</v>
      </c>
      <c r="N107" s="515">
        <f>Aprēķini!M$246+N$112*'Jutīguma analīze_IIA'!$B107</f>
        <v>12843.228580862531</v>
      </c>
      <c r="O107" s="515">
        <f>Aprēķini!N$246+O$112*'Jutīguma analīze_IIA'!$B107</f>
        <v>12696.247032400832</v>
      </c>
      <c r="P107" s="515">
        <f>Aprēķini!O$246+P$112*'Jutīguma analīze_IIA'!$B107</f>
        <v>7798.0040648697177</v>
      </c>
      <c r="Q107" s="515">
        <f>Aprēķini!P$246+Q$112*'Jutīguma analīze_IIA'!$B107</f>
        <v>7755.6943053331925</v>
      </c>
      <c r="R107" s="515">
        <f>Aprēķini!Q$246+R$112*'Jutīguma analīze_IIA'!$B107</f>
        <v>10488.20352179373</v>
      </c>
      <c r="S107" s="515">
        <f>Aprēķini!R$246+S$112*'Jutīguma analīze_IIA'!$B107</f>
        <v>8890.9908730052994</v>
      </c>
      <c r="T107" s="515">
        <f>Aprēķini!S$246+T$112*'Jutīguma analīze_IIA'!$B107</f>
        <v>13252.913532016919</v>
      </c>
      <c r="U107" s="515">
        <f>Aprēķini!T$246+U$112*'Jutīguma analīze_IIA'!$B107</f>
        <v>8557.3905053876806</v>
      </c>
      <c r="V107" s="515">
        <f>Aprēķini!U$246+V$112*'Jutīguma analīze_IIA'!$B107</f>
        <v>8738.2283738516671</v>
      </c>
      <c r="W107" s="515">
        <f>Aprēķini!V$246+W$112*'Jutīguma analīze_IIA'!$B107</f>
        <v>8441.4616863241536</v>
      </c>
      <c r="X107" s="515">
        <f>Aprēķini!W$246+X$112*'Jutīguma analīze_IIA'!$B107</f>
        <v>8425.4471827884481</v>
      </c>
      <c r="Y107" s="515">
        <f>Aprēķini!X$246+Y$112*'Jutīguma analīze_IIA'!$B107</f>
        <v>11182.680294703361</v>
      </c>
      <c r="Z107" s="515">
        <f>Aprēķini!Y$246+Z$112*'Jutīguma analīze_IIA'!$B107</f>
        <v>11166.665791168009</v>
      </c>
      <c r="AA107" s="515">
        <f>Aprēķini!Z$246+AA$112*'Jutīguma analīze_IIA'!$B107</f>
        <v>10802.22755508656</v>
      </c>
      <c r="AB107" s="515">
        <f>Aprēķini!AA$246+AB$112*'Jutīguma analīze_IIA'!$B107</f>
        <v>11133.065423550222</v>
      </c>
      <c r="AC107" s="515">
        <f>Aprēķini!AB$246+AC$112*'Jutīguma analīze_IIA'!$B107</f>
        <v>10984.974948466221</v>
      </c>
      <c r="AD107" s="515">
        <f>Aprēķini!AC$246+AD$112*'Jutīguma analīze_IIA'!$B107</f>
        <v>13406.378626433685</v>
      </c>
      <c r="AE107" s="515">
        <f>Aprēķini!AD$246+AE$112*'Jutīguma analīze_IIA'!$B107</f>
        <v>28099.090746734568</v>
      </c>
      <c r="AF107" s="515">
        <f>Aprēķini!AE$246+AF$112*'Jutīguma analīze_IIA'!$B107</f>
        <v>28023.685864194485</v>
      </c>
      <c r="AG107" s="515">
        <f>Aprēķini!AF$246+AG$112*'Jutīguma analīze_IIA'!$B107</f>
        <v>18907.645375299631</v>
      </c>
      <c r="AH107" s="515">
        <f>Aprēķini!AG$246+AH$112*'Jutīguma analīze_IIA'!$B107</f>
        <v>567491.19329313783</v>
      </c>
      <c r="AI107" s="515">
        <f>Aprēķini!AH$246+AI$112*'Jutīguma analīze_IIA'!$B107</f>
        <v>18796.741210976019</v>
      </c>
    </row>
    <row r="108" spans="1:45" ht="12.75" x14ac:dyDescent="0.2">
      <c r="A108" s="642"/>
      <c r="B108" s="115">
        <v>-2.5000000000000001E-2</v>
      </c>
      <c r="C108" s="515">
        <f>Aprēķini!B$246+C$112*'Jutīguma analīze_IIA'!$B108</f>
        <v>-10043.14272674231</v>
      </c>
      <c r="D108" s="515">
        <f>Aprēķini!C$246+D$112*'Jutīguma analīze_IIA'!$B108</f>
        <v>-6827.5529573968706</v>
      </c>
      <c r="E108" s="515">
        <f>Aprēķini!D$246+E$112*'Jutīguma analīze_IIA'!$B108</f>
        <v>-6974.4190663489835</v>
      </c>
      <c r="F108" s="515">
        <f>Aprēķini!E$246+F$112*'Jutīguma analīze_IIA'!$B108</f>
        <v>8369.5376273348047</v>
      </c>
      <c r="G108" s="515">
        <f>Aprēķini!F$246+G$112*'Jutīguma analīze_IIA'!$B108</f>
        <v>8248.8147016024377</v>
      </c>
      <c r="H108" s="515">
        <f>Aprēķini!G$246+H$112*'Jutīguma analīze_IIA'!$B108</f>
        <v>8707.0373334866927</v>
      </c>
      <c r="I108" s="515">
        <f>Aprēķini!H$246+I$112*'Jutīguma analīze_IIA'!$B108</f>
        <v>8670.8248514383376</v>
      </c>
      <c r="J108" s="515">
        <f>Aprēķini!I$246+J$112*'Jutīguma analīze_IIA'!$B108</f>
        <v>8306.3555419794175</v>
      </c>
      <c r="K108" s="515">
        <f>Aprēķini!J$246+K$112*'Jutīguma analīze_IIA'!$B108</f>
        <v>12455.249789607689</v>
      </c>
      <c r="L108" s="515">
        <f>Aprēķini!K$246+L$112*'Jutīguma analīze_IIA'!$B108</f>
        <v>12787.196584693942</v>
      </c>
      <c r="M108" s="515">
        <f>Aprēķini!L$246+M$112*'Jutīguma analīze_IIA'!$B108</f>
        <v>12641.786396778538</v>
      </c>
      <c r="N108" s="515">
        <f>Aprēķini!M$246+N$112*'Jutīguma analīze_IIA'!$B108</f>
        <v>12843.228580862531</v>
      </c>
      <c r="O108" s="515">
        <f>Aprēķini!N$246+O$112*'Jutīguma analīze_IIA'!$B108</f>
        <v>12696.247032400832</v>
      </c>
      <c r="P108" s="515">
        <f>Aprēķini!O$246+P$112*'Jutīguma analīze_IIA'!$B108</f>
        <v>7798.0040648697177</v>
      </c>
      <c r="Q108" s="515">
        <f>Aprēķini!P$246+Q$112*'Jutīguma analīze_IIA'!$B108</f>
        <v>7755.6943053331925</v>
      </c>
      <c r="R108" s="515">
        <f>Aprēķini!Q$246+R$112*'Jutīguma analīze_IIA'!$B108</f>
        <v>10488.20352179373</v>
      </c>
      <c r="S108" s="515">
        <f>Aprēķini!R$246+S$112*'Jutīguma analīze_IIA'!$B108</f>
        <v>8890.9908730052994</v>
      </c>
      <c r="T108" s="515">
        <f>Aprēķini!S$246+T$112*'Jutīguma analīze_IIA'!$B108</f>
        <v>13252.913532016919</v>
      </c>
      <c r="U108" s="515">
        <f>Aprēķini!T$246+U$112*'Jutīguma analīze_IIA'!$B108</f>
        <v>8557.3905053876806</v>
      </c>
      <c r="V108" s="515">
        <f>Aprēķini!U$246+V$112*'Jutīguma analīze_IIA'!$B108</f>
        <v>8738.2283738516671</v>
      </c>
      <c r="W108" s="515">
        <f>Aprēķini!V$246+W$112*'Jutīguma analīze_IIA'!$B108</f>
        <v>8441.4616863241536</v>
      </c>
      <c r="X108" s="515">
        <f>Aprēķini!W$246+X$112*'Jutīguma analīze_IIA'!$B108</f>
        <v>8425.4471827884481</v>
      </c>
      <c r="Y108" s="515">
        <f>Aprēķini!X$246+Y$112*'Jutīguma analīze_IIA'!$B108</f>
        <v>11182.680294703361</v>
      </c>
      <c r="Z108" s="515">
        <f>Aprēķini!Y$246+Z$112*'Jutīguma analīze_IIA'!$B108</f>
        <v>11166.665791168009</v>
      </c>
      <c r="AA108" s="515">
        <f>Aprēķini!Z$246+AA$112*'Jutīguma analīze_IIA'!$B108</f>
        <v>10802.22755508656</v>
      </c>
      <c r="AB108" s="515">
        <f>Aprēķini!AA$246+AB$112*'Jutīguma analīze_IIA'!$B108</f>
        <v>11133.065423550222</v>
      </c>
      <c r="AC108" s="515">
        <f>Aprēķini!AB$246+AC$112*'Jutīguma analīze_IIA'!$B108</f>
        <v>10984.974948466221</v>
      </c>
      <c r="AD108" s="515">
        <f>Aprēķini!AC$246+AD$112*'Jutīguma analīze_IIA'!$B108</f>
        <v>13406.378626433685</v>
      </c>
      <c r="AE108" s="515">
        <f>Aprēķini!AD$246+AE$112*'Jutīguma analīze_IIA'!$B108</f>
        <v>28099.090746734568</v>
      </c>
      <c r="AF108" s="515">
        <f>Aprēķini!AE$246+AF$112*'Jutīguma analīze_IIA'!$B108</f>
        <v>28023.685864194485</v>
      </c>
      <c r="AG108" s="515">
        <f>Aprēķini!AF$246+AG$112*'Jutīguma analīze_IIA'!$B108</f>
        <v>18907.645375299631</v>
      </c>
      <c r="AH108" s="515">
        <f>Aprēķini!AG$246+AH$112*'Jutīguma analīze_IIA'!$B108</f>
        <v>567491.19329313783</v>
      </c>
      <c r="AI108" s="515">
        <f>Aprēķini!AH$246+AI$112*'Jutīguma analīze_IIA'!$B108</f>
        <v>18796.741210976019</v>
      </c>
    </row>
    <row r="109" spans="1:45" ht="12.75" x14ac:dyDescent="0.2">
      <c r="A109" s="642"/>
      <c r="B109" s="115">
        <v>-0.05</v>
      </c>
      <c r="C109" s="515">
        <f>Aprēķini!B$246+C$112*'Jutīguma analīze_IIA'!$B109</f>
        <v>-18843.701453484617</v>
      </c>
      <c r="D109" s="515">
        <f>Aprēķini!C$246+D$112*'Jutīguma analīze_IIA'!$B109</f>
        <v>-12012.327957396872</v>
      </c>
      <c r="E109" s="515">
        <f>Aprēķini!D$246+E$112*'Jutīguma analīze_IIA'!$B109</f>
        <v>-15143.669066348983</v>
      </c>
      <c r="F109" s="515">
        <f>Aprēķini!E$246+F$112*'Jutīguma analīze_IIA'!$B109</f>
        <v>8369.5376273348047</v>
      </c>
      <c r="G109" s="515">
        <f>Aprēķini!F$246+G$112*'Jutīguma analīze_IIA'!$B109</f>
        <v>8248.8147016024377</v>
      </c>
      <c r="H109" s="515">
        <f>Aprēķini!G$246+H$112*'Jutīguma analīze_IIA'!$B109</f>
        <v>8707.0373334866927</v>
      </c>
      <c r="I109" s="515">
        <f>Aprēķini!H$246+I$112*'Jutīguma analīze_IIA'!$B109</f>
        <v>8670.8248514383376</v>
      </c>
      <c r="J109" s="515">
        <f>Aprēķini!I$246+J$112*'Jutīguma analīze_IIA'!$B109</f>
        <v>8306.3555419794175</v>
      </c>
      <c r="K109" s="515">
        <f>Aprēķini!J$246+K$112*'Jutīguma analīze_IIA'!$B109</f>
        <v>12455.249789607689</v>
      </c>
      <c r="L109" s="515">
        <f>Aprēķini!K$246+L$112*'Jutīguma analīze_IIA'!$B109</f>
        <v>12787.196584693942</v>
      </c>
      <c r="M109" s="515">
        <f>Aprēķini!L$246+M$112*'Jutīguma analīze_IIA'!$B109</f>
        <v>12641.786396778538</v>
      </c>
      <c r="N109" s="515">
        <f>Aprēķini!M$246+N$112*'Jutīguma analīze_IIA'!$B109</f>
        <v>12843.228580862531</v>
      </c>
      <c r="O109" s="515">
        <f>Aprēķini!N$246+O$112*'Jutīguma analīze_IIA'!$B109</f>
        <v>12696.247032400832</v>
      </c>
      <c r="P109" s="515">
        <f>Aprēķini!O$246+P$112*'Jutīguma analīze_IIA'!$B109</f>
        <v>7798.0040648697177</v>
      </c>
      <c r="Q109" s="515">
        <f>Aprēķini!P$246+Q$112*'Jutīguma analīze_IIA'!$B109</f>
        <v>7755.6943053331925</v>
      </c>
      <c r="R109" s="515">
        <f>Aprēķini!Q$246+R$112*'Jutīguma analīze_IIA'!$B109</f>
        <v>10488.20352179373</v>
      </c>
      <c r="S109" s="515">
        <f>Aprēķini!R$246+S$112*'Jutīguma analīze_IIA'!$B109</f>
        <v>8890.9908730052994</v>
      </c>
      <c r="T109" s="515">
        <f>Aprēķini!S$246+T$112*'Jutīguma analīze_IIA'!$B109</f>
        <v>13252.913532016919</v>
      </c>
      <c r="U109" s="515">
        <f>Aprēķini!T$246+U$112*'Jutīguma analīze_IIA'!$B109</f>
        <v>8557.3905053876806</v>
      </c>
      <c r="V109" s="515">
        <f>Aprēķini!U$246+V$112*'Jutīguma analīze_IIA'!$B109</f>
        <v>8738.2283738516671</v>
      </c>
      <c r="W109" s="515">
        <f>Aprēķini!V$246+W$112*'Jutīguma analīze_IIA'!$B109</f>
        <v>8441.4616863241536</v>
      </c>
      <c r="X109" s="515">
        <f>Aprēķini!W$246+X$112*'Jutīguma analīze_IIA'!$B109</f>
        <v>8425.4471827884481</v>
      </c>
      <c r="Y109" s="515">
        <f>Aprēķini!X$246+Y$112*'Jutīguma analīze_IIA'!$B109</f>
        <v>11182.680294703361</v>
      </c>
      <c r="Z109" s="515">
        <f>Aprēķini!Y$246+Z$112*'Jutīguma analīze_IIA'!$B109</f>
        <v>11166.665791168009</v>
      </c>
      <c r="AA109" s="515">
        <f>Aprēķini!Z$246+AA$112*'Jutīguma analīze_IIA'!$B109</f>
        <v>10802.22755508656</v>
      </c>
      <c r="AB109" s="515">
        <f>Aprēķini!AA$246+AB$112*'Jutīguma analīze_IIA'!$B109</f>
        <v>11133.065423550222</v>
      </c>
      <c r="AC109" s="515">
        <f>Aprēķini!AB$246+AC$112*'Jutīguma analīze_IIA'!$B109</f>
        <v>10984.974948466221</v>
      </c>
      <c r="AD109" s="515">
        <f>Aprēķini!AC$246+AD$112*'Jutīguma analīze_IIA'!$B109</f>
        <v>13406.378626433685</v>
      </c>
      <c r="AE109" s="515">
        <f>Aprēķini!AD$246+AE$112*'Jutīguma analīze_IIA'!$B109</f>
        <v>28099.090746734568</v>
      </c>
      <c r="AF109" s="515">
        <f>Aprēķini!AE$246+AF$112*'Jutīguma analīze_IIA'!$B109</f>
        <v>28023.685864194485</v>
      </c>
      <c r="AG109" s="515">
        <f>Aprēķini!AF$246+AG$112*'Jutīguma analīze_IIA'!$B109</f>
        <v>18907.645375299631</v>
      </c>
      <c r="AH109" s="515">
        <f>Aprēķini!AG$246+AH$112*'Jutīguma analīze_IIA'!$B109</f>
        <v>567491.19329313783</v>
      </c>
      <c r="AI109" s="515">
        <f>Aprēķini!AH$246+AI$112*'Jutīguma analīze_IIA'!$B109</f>
        <v>18796.741210976019</v>
      </c>
    </row>
    <row r="110" spans="1:45" ht="12.75" x14ac:dyDescent="0.2">
      <c r="A110" s="642"/>
      <c r="B110" s="115">
        <v>-7.4999999999999997E-2</v>
      </c>
      <c r="C110" s="515">
        <f>Aprēķini!B$246+C$112*'Jutīguma analīze_IIA'!$B110</f>
        <v>-27644.260180226927</v>
      </c>
      <c r="D110" s="515">
        <f>Aprēķini!C$246+D$112*'Jutīguma analīze_IIA'!$B110</f>
        <v>-17197.10295739687</v>
      </c>
      <c r="E110" s="515">
        <f>Aprēķini!D$246+E$112*'Jutīguma analīze_IIA'!$B110</f>
        <v>-23312.919066348983</v>
      </c>
      <c r="F110" s="515">
        <f>Aprēķini!E$246+F$112*'Jutīguma analīze_IIA'!$B110</f>
        <v>8369.5376273348047</v>
      </c>
      <c r="G110" s="515">
        <f>Aprēķini!F$246+G$112*'Jutīguma analīze_IIA'!$B110</f>
        <v>8248.8147016024377</v>
      </c>
      <c r="H110" s="515">
        <f>Aprēķini!G$246+H$112*'Jutīguma analīze_IIA'!$B110</f>
        <v>8707.0373334866927</v>
      </c>
      <c r="I110" s="515">
        <f>Aprēķini!H$246+I$112*'Jutīguma analīze_IIA'!$B110</f>
        <v>8670.8248514383376</v>
      </c>
      <c r="J110" s="515">
        <f>Aprēķini!I$246+J$112*'Jutīguma analīze_IIA'!$B110</f>
        <v>8306.3555419794175</v>
      </c>
      <c r="K110" s="515">
        <f>Aprēķini!J$246+K$112*'Jutīguma analīze_IIA'!$B110</f>
        <v>12455.249789607689</v>
      </c>
      <c r="L110" s="515">
        <f>Aprēķini!K$246+L$112*'Jutīguma analīze_IIA'!$B110</f>
        <v>12787.196584693942</v>
      </c>
      <c r="M110" s="515">
        <f>Aprēķini!L$246+M$112*'Jutīguma analīze_IIA'!$B110</f>
        <v>12641.786396778538</v>
      </c>
      <c r="N110" s="515">
        <f>Aprēķini!M$246+N$112*'Jutīguma analīze_IIA'!$B110</f>
        <v>12843.228580862531</v>
      </c>
      <c r="O110" s="515">
        <f>Aprēķini!N$246+O$112*'Jutīguma analīze_IIA'!$B110</f>
        <v>12696.247032400832</v>
      </c>
      <c r="P110" s="515">
        <f>Aprēķini!O$246+P$112*'Jutīguma analīze_IIA'!$B110</f>
        <v>7798.0040648697177</v>
      </c>
      <c r="Q110" s="515">
        <f>Aprēķini!P$246+Q$112*'Jutīguma analīze_IIA'!$B110</f>
        <v>7755.6943053331925</v>
      </c>
      <c r="R110" s="515">
        <f>Aprēķini!Q$246+R$112*'Jutīguma analīze_IIA'!$B110</f>
        <v>10488.20352179373</v>
      </c>
      <c r="S110" s="515">
        <f>Aprēķini!R$246+S$112*'Jutīguma analīze_IIA'!$B110</f>
        <v>8890.9908730052994</v>
      </c>
      <c r="T110" s="515">
        <f>Aprēķini!S$246+T$112*'Jutīguma analīze_IIA'!$B110</f>
        <v>13252.913532016919</v>
      </c>
      <c r="U110" s="515">
        <f>Aprēķini!T$246+U$112*'Jutīguma analīze_IIA'!$B110</f>
        <v>8557.3905053876806</v>
      </c>
      <c r="V110" s="515">
        <f>Aprēķini!U$246+V$112*'Jutīguma analīze_IIA'!$B110</f>
        <v>8738.2283738516671</v>
      </c>
      <c r="W110" s="515">
        <f>Aprēķini!V$246+W$112*'Jutīguma analīze_IIA'!$B110</f>
        <v>8441.4616863241536</v>
      </c>
      <c r="X110" s="515">
        <f>Aprēķini!W$246+X$112*'Jutīguma analīze_IIA'!$B110</f>
        <v>8425.4471827884481</v>
      </c>
      <c r="Y110" s="515">
        <f>Aprēķini!X$246+Y$112*'Jutīguma analīze_IIA'!$B110</f>
        <v>11182.680294703361</v>
      </c>
      <c r="Z110" s="515">
        <f>Aprēķini!Y$246+Z$112*'Jutīguma analīze_IIA'!$B110</f>
        <v>11166.665791168009</v>
      </c>
      <c r="AA110" s="515">
        <f>Aprēķini!Z$246+AA$112*'Jutīguma analīze_IIA'!$B110</f>
        <v>10802.22755508656</v>
      </c>
      <c r="AB110" s="515">
        <f>Aprēķini!AA$246+AB$112*'Jutīguma analīze_IIA'!$B110</f>
        <v>11133.065423550222</v>
      </c>
      <c r="AC110" s="515">
        <f>Aprēķini!AB$246+AC$112*'Jutīguma analīze_IIA'!$B110</f>
        <v>10984.974948466221</v>
      </c>
      <c r="AD110" s="515">
        <f>Aprēķini!AC$246+AD$112*'Jutīguma analīze_IIA'!$B110</f>
        <v>13406.378626433685</v>
      </c>
      <c r="AE110" s="515">
        <f>Aprēķini!AD$246+AE$112*'Jutīguma analīze_IIA'!$B110</f>
        <v>28099.090746734568</v>
      </c>
      <c r="AF110" s="515">
        <f>Aprēķini!AE$246+AF$112*'Jutīguma analīze_IIA'!$B110</f>
        <v>28023.685864194485</v>
      </c>
      <c r="AG110" s="515">
        <f>Aprēķini!AF$246+AG$112*'Jutīguma analīze_IIA'!$B110</f>
        <v>18907.645375299631</v>
      </c>
      <c r="AH110" s="515">
        <f>Aprēķini!AG$246+AH$112*'Jutīguma analīze_IIA'!$B110</f>
        <v>567491.19329313783</v>
      </c>
      <c r="AI110" s="515">
        <f>Aprēķini!AH$246+AI$112*'Jutīguma analīze_IIA'!$B110</f>
        <v>18796.741210976019</v>
      </c>
    </row>
    <row r="111" spans="1:45" ht="12.75" x14ac:dyDescent="0.2">
      <c r="A111" s="643"/>
      <c r="B111" s="115">
        <v>-0.1</v>
      </c>
      <c r="C111" s="515">
        <f>Aprēķini!B$246+C$112*'Jutīguma analīze_IIA'!$B111</f>
        <v>-36444.818906969238</v>
      </c>
      <c r="D111" s="515">
        <f>Aprēķini!C$246+D$112*'Jutīguma analīze_IIA'!$B111</f>
        <v>-22381.877957396871</v>
      </c>
      <c r="E111" s="515">
        <f>Aprēķini!D$246+E$112*'Jutīguma analīze_IIA'!$B111</f>
        <v>-31482.169066348983</v>
      </c>
      <c r="F111" s="515">
        <f>Aprēķini!E$246+F$112*'Jutīguma analīze_IIA'!$B111</f>
        <v>8369.5376273348047</v>
      </c>
      <c r="G111" s="515">
        <f>Aprēķini!F$246+G$112*'Jutīguma analīze_IIA'!$B111</f>
        <v>8248.8147016024377</v>
      </c>
      <c r="H111" s="515">
        <f>Aprēķini!G$246+H$112*'Jutīguma analīze_IIA'!$B111</f>
        <v>8707.0373334866927</v>
      </c>
      <c r="I111" s="515">
        <f>Aprēķini!H$246+I$112*'Jutīguma analīze_IIA'!$B111</f>
        <v>8670.8248514383376</v>
      </c>
      <c r="J111" s="515">
        <f>Aprēķini!I$246+J$112*'Jutīguma analīze_IIA'!$B111</f>
        <v>8306.3555419794175</v>
      </c>
      <c r="K111" s="515">
        <f>Aprēķini!J$246+K$112*'Jutīguma analīze_IIA'!$B111</f>
        <v>12455.249789607689</v>
      </c>
      <c r="L111" s="515">
        <f>Aprēķini!K$246+L$112*'Jutīguma analīze_IIA'!$B111</f>
        <v>12787.196584693942</v>
      </c>
      <c r="M111" s="515">
        <f>Aprēķini!L$246+M$112*'Jutīguma analīze_IIA'!$B111</f>
        <v>12641.786396778538</v>
      </c>
      <c r="N111" s="515">
        <f>Aprēķini!M$246+N$112*'Jutīguma analīze_IIA'!$B111</f>
        <v>12843.228580862531</v>
      </c>
      <c r="O111" s="515">
        <f>Aprēķini!N$246+O$112*'Jutīguma analīze_IIA'!$B111</f>
        <v>12696.247032400832</v>
      </c>
      <c r="P111" s="515">
        <f>Aprēķini!O$246+P$112*'Jutīguma analīze_IIA'!$B111</f>
        <v>7798.0040648697177</v>
      </c>
      <c r="Q111" s="515">
        <f>Aprēķini!P$246+Q$112*'Jutīguma analīze_IIA'!$B111</f>
        <v>7755.6943053331925</v>
      </c>
      <c r="R111" s="515">
        <f>Aprēķini!Q$246+R$112*'Jutīguma analīze_IIA'!$B111</f>
        <v>10488.20352179373</v>
      </c>
      <c r="S111" s="515">
        <f>Aprēķini!R$246+S$112*'Jutīguma analīze_IIA'!$B111</f>
        <v>8890.9908730052994</v>
      </c>
      <c r="T111" s="515">
        <f>Aprēķini!S$246+T$112*'Jutīguma analīze_IIA'!$B111</f>
        <v>13252.913532016919</v>
      </c>
      <c r="U111" s="515">
        <f>Aprēķini!T$246+U$112*'Jutīguma analīze_IIA'!$B111</f>
        <v>8557.3905053876806</v>
      </c>
      <c r="V111" s="515">
        <f>Aprēķini!U$246+V$112*'Jutīguma analīze_IIA'!$B111</f>
        <v>8738.2283738516671</v>
      </c>
      <c r="W111" s="515">
        <f>Aprēķini!V$246+W$112*'Jutīguma analīze_IIA'!$B111</f>
        <v>8441.4616863241536</v>
      </c>
      <c r="X111" s="515">
        <f>Aprēķini!W$246+X$112*'Jutīguma analīze_IIA'!$B111</f>
        <v>8425.4471827884481</v>
      </c>
      <c r="Y111" s="515">
        <f>Aprēķini!X$246+Y$112*'Jutīguma analīze_IIA'!$B111</f>
        <v>11182.680294703361</v>
      </c>
      <c r="Z111" s="515">
        <f>Aprēķini!Y$246+Z$112*'Jutīguma analīze_IIA'!$B111</f>
        <v>11166.665791168009</v>
      </c>
      <c r="AA111" s="515">
        <f>Aprēķini!Z$246+AA$112*'Jutīguma analīze_IIA'!$B111</f>
        <v>10802.22755508656</v>
      </c>
      <c r="AB111" s="515">
        <f>Aprēķini!AA$246+AB$112*'Jutīguma analīze_IIA'!$B111</f>
        <v>11133.065423550222</v>
      </c>
      <c r="AC111" s="515">
        <f>Aprēķini!AB$246+AC$112*'Jutīguma analīze_IIA'!$B111</f>
        <v>10984.974948466221</v>
      </c>
      <c r="AD111" s="515">
        <f>Aprēķini!AC$246+AD$112*'Jutīguma analīze_IIA'!$B111</f>
        <v>13406.378626433685</v>
      </c>
      <c r="AE111" s="515">
        <f>Aprēķini!AD$246+AE$112*'Jutīguma analīze_IIA'!$B111</f>
        <v>28099.090746734568</v>
      </c>
      <c r="AF111" s="515">
        <f>Aprēķini!AE$246+AF$112*'Jutīguma analīze_IIA'!$B111</f>
        <v>28023.685864194485</v>
      </c>
      <c r="AG111" s="515">
        <f>Aprēķini!AF$246+AG$112*'Jutīguma analīze_IIA'!$B111</f>
        <v>18907.645375299631</v>
      </c>
      <c r="AH111" s="515">
        <f>Aprēķini!AG$246+AH$112*'Jutīguma analīze_IIA'!$B111</f>
        <v>567491.19329313783</v>
      </c>
      <c r="AI111" s="515">
        <f>Aprēķini!AH$246+AI$112*'Jutīguma analīze_IIA'!$B111</f>
        <v>18796.741210976019</v>
      </c>
    </row>
    <row r="112" spans="1:45" ht="12.75" x14ac:dyDescent="0.2">
      <c r="A112" s="516" t="s">
        <v>486</v>
      </c>
      <c r="B112" s="516"/>
      <c r="C112" s="683">
        <f>Aprēķini!B164</f>
        <v>352022.34906969237</v>
      </c>
      <c r="D112" s="683">
        <f>Aprēķini!C164</f>
        <v>207391</v>
      </c>
      <c r="E112" s="683">
        <f>Aprēķini!D164</f>
        <v>326770</v>
      </c>
      <c r="F112" s="683">
        <f>Aprēķini!E164</f>
        <v>0</v>
      </c>
      <c r="G112" s="683">
        <f>Aprēķini!F164</f>
        <v>0</v>
      </c>
      <c r="H112" s="683">
        <f>Aprēķini!G164</f>
        <v>0</v>
      </c>
      <c r="I112" s="683">
        <f>Aprēķini!H164</f>
        <v>0</v>
      </c>
      <c r="J112" s="683">
        <f>Aprēķini!I164</f>
        <v>0</v>
      </c>
      <c r="K112" s="683">
        <f>Aprēķini!J164</f>
        <v>0</v>
      </c>
      <c r="L112" s="683">
        <f>Aprēķini!K164</f>
        <v>0</v>
      </c>
      <c r="M112" s="683">
        <f>Aprēķini!L164</f>
        <v>0</v>
      </c>
      <c r="N112" s="683">
        <f>Aprēķini!M164</f>
        <v>0</v>
      </c>
      <c r="O112" s="516">
        <f>Aprēķini!N192*Līdzfinansējums!$F$29</f>
        <v>0</v>
      </c>
      <c r="P112" s="516">
        <f>Aprēķini!O192*Līdzfinansējums!$F$29</f>
        <v>0</v>
      </c>
      <c r="Q112" s="516">
        <f>Aprēķini!P192*Līdzfinansējums!$F$29</f>
        <v>0</v>
      </c>
      <c r="R112" s="516">
        <f>Aprēķini!Q192*Līdzfinansējums!$F$29</f>
        <v>0</v>
      </c>
      <c r="S112" s="516">
        <f>Aprēķini!R192*Līdzfinansējums!$F$29</f>
        <v>0</v>
      </c>
      <c r="T112" s="516">
        <f>Aprēķini!S192*Līdzfinansējums!$F$29</f>
        <v>0</v>
      </c>
      <c r="U112" s="516">
        <f>Aprēķini!T192*Līdzfinansējums!$F$29</f>
        <v>0</v>
      </c>
      <c r="V112" s="516">
        <f>Aprēķini!U192*Līdzfinansējums!$F$29</f>
        <v>0</v>
      </c>
      <c r="W112" s="516">
        <f>Aprēķini!V192*Līdzfinansējums!$F$29</f>
        <v>0</v>
      </c>
      <c r="X112" s="516">
        <f>Aprēķini!W192*Līdzfinansējums!$F$29</f>
        <v>0</v>
      </c>
      <c r="Y112" s="516">
        <f>Aprēķini!X192*Līdzfinansējums!$F$29</f>
        <v>0</v>
      </c>
      <c r="Z112" s="516">
        <f>Aprēķini!Y192*Līdzfinansējums!$F$29</f>
        <v>0</v>
      </c>
      <c r="AA112" s="516">
        <f>Aprēķini!Z192*Līdzfinansējums!$F$29</f>
        <v>0</v>
      </c>
      <c r="AB112" s="516">
        <f>Aprēķini!AA192*Līdzfinansējums!$F$29</f>
        <v>0</v>
      </c>
      <c r="AC112" s="516">
        <f>Aprēķini!AB192*Līdzfinansējums!$F$29</f>
        <v>0</v>
      </c>
      <c r="AD112" s="516">
        <f>Aprēķini!AC192*Līdzfinansējums!$F$29</f>
        <v>0</v>
      </c>
      <c r="AE112" s="516">
        <f>Aprēķini!AD192*Līdzfinansējums!$F$29</f>
        <v>0</v>
      </c>
      <c r="AF112" s="516">
        <f>Aprēķini!AE192*Līdzfinansējums!$F$29</f>
        <v>0</v>
      </c>
      <c r="AG112" s="516">
        <f>Aprēķini!AF192*Līdzfinansējums!$F$29</f>
        <v>0</v>
      </c>
      <c r="AH112" s="516">
        <f>Aprēķini!AG192*Līdzfinansējums!$F$29</f>
        <v>0</v>
      </c>
      <c r="AI112" s="516">
        <f>Aprēķini!AH192*Līdzfinansējums!$F$29</f>
        <v>0</v>
      </c>
      <c r="AJ112" s="509"/>
      <c r="AK112" s="509"/>
      <c r="AL112" s="509"/>
      <c r="AM112" s="509"/>
      <c r="AN112" s="509"/>
      <c r="AO112" s="509"/>
      <c r="AP112" s="509"/>
      <c r="AQ112" s="509"/>
      <c r="AR112" s="509"/>
      <c r="AS112" s="509"/>
    </row>
    <row r="113" spans="1:35" ht="12.75" x14ac:dyDescent="0.2">
      <c r="A113" s="504"/>
      <c r="B113" s="504"/>
      <c r="C113" s="504"/>
    </row>
    <row r="114" spans="1:35" ht="12.75" x14ac:dyDescent="0.2">
      <c r="A114" s="112" t="s">
        <v>188</v>
      </c>
      <c r="B114" s="111" t="s">
        <v>189</v>
      </c>
      <c r="C114" s="111" t="s">
        <v>190</v>
      </c>
      <c r="D114" s="111" t="s">
        <v>191</v>
      </c>
      <c r="E114" s="111" t="s">
        <v>192</v>
      </c>
      <c r="F114" s="111" t="s">
        <v>193</v>
      </c>
      <c r="H114" s="111" t="s">
        <v>190</v>
      </c>
      <c r="I114" s="111" t="s">
        <v>192</v>
      </c>
    </row>
    <row r="115" spans="1:35" ht="12.75" x14ac:dyDescent="0.2">
      <c r="A115" s="638"/>
      <c r="B115" s="115">
        <v>0.1</v>
      </c>
      <c r="C115" s="675">
        <f>NPV('Kopējie pieņēmumi'!B$18,D15:AI15)</f>
        <v>-405966.74226043449</v>
      </c>
      <c r="D115" s="677">
        <f t="shared" ref="D115:D125" si="3">IRR(D15:AI15,0)</f>
        <v>2.1389602239952676E-2</v>
      </c>
      <c r="E115" s="675">
        <f>NPV('Kopējie pieņēmumi'!B$18,D26:AI26)</f>
        <v>259903.00564786064</v>
      </c>
      <c r="F115" s="678">
        <f t="shared" ref="F115:F125" si="4">IRR(D26:AI26,0)</f>
        <v>2.4950080516171438</v>
      </c>
      <c r="G115" s="114"/>
      <c r="H115" s="677">
        <f t="shared" ref="H115:H125" si="5">C115/$C$120-1</f>
        <v>-9.0091067963741334E-2</v>
      </c>
      <c r="I115" s="677">
        <f t="shared" ref="I115:I125" si="6">E115/$E$120-1</f>
        <v>0.18294847333180253</v>
      </c>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row>
    <row r="116" spans="1:35" ht="11.25" x14ac:dyDescent="0.2">
      <c r="A116" s="639"/>
      <c r="B116" s="115">
        <v>7.4999999999999997E-2</v>
      </c>
      <c r="C116" s="675">
        <f>NPV('Kopējie pieņēmumi'!B$18,D16:AI16)</f>
        <v>-416015.54387131549</v>
      </c>
      <c r="D116" s="677">
        <f t="shared" si="3"/>
        <v>2.0039916781065426E-2</v>
      </c>
      <c r="E116" s="675">
        <f>NPV('Kopējie pieņēmumi'!B$18,D27:AI27)</f>
        <v>249854.2040369797</v>
      </c>
      <c r="F116" s="678">
        <f t="shared" si="4"/>
        <v>2.4053048078094728</v>
      </c>
      <c r="G116" s="114"/>
      <c r="H116" s="677">
        <f t="shared" si="5"/>
        <v>-6.756830097280575E-2</v>
      </c>
      <c r="I116" s="677">
        <f t="shared" si="6"/>
        <v>0.13721135499885184</v>
      </c>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row>
    <row r="117" spans="1:35" ht="11.25" x14ac:dyDescent="0.2">
      <c r="A117" s="639"/>
      <c r="B117" s="115">
        <v>0.05</v>
      </c>
      <c r="C117" s="675">
        <f>NPV('Kopējie pieņēmumi'!B$18,D17:AI17)</f>
        <v>-426064.34548219666</v>
      </c>
      <c r="D117" s="677">
        <f t="shared" si="3"/>
        <v>1.865692964287291E-2</v>
      </c>
      <c r="E117" s="675">
        <f>NPV('Kopējie pieņēmumi'!B$18,D28:AI28)</f>
        <v>239805.40242609879</v>
      </c>
      <c r="F117" s="678">
        <f t="shared" si="4"/>
        <v>2.3141957458283997</v>
      </c>
      <c r="G117" s="114"/>
      <c r="H117" s="677">
        <f t="shared" si="5"/>
        <v>-4.5045533981869834E-2</v>
      </c>
      <c r="I117" s="677">
        <f t="shared" si="6"/>
        <v>9.1474236665901154E-2</v>
      </c>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row>
    <row r="118" spans="1:35" ht="11.25" x14ac:dyDescent="0.2">
      <c r="A118" s="639"/>
      <c r="B118" s="115">
        <v>2.5000000000000001E-2</v>
      </c>
      <c r="C118" s="675">
        <f>NPV('Kopējie pieņēmumi'!B$18,D18:AI18)</f>
        <v>-436113.14709307748</v>
      </c>
      <c r="D118" s="677">
        <f t="shared" si="3"/>
        <v>1.7238402219656113E-2</v>
      </c>
      <c r="E118" s="675">
        <f>NPV('Kopējie pieņēmumi'!B$18,D29:AI29)</f>
        <v>229756.60081521791</v>
      </c>
      <c r="F118" s="678">
        <f t="shared" si="4"/>
        <v>2.2215625915378228</v>
      </c>
      <c r="G118" s="114"/>
      <c r="H118" s="677">
        <f t="shared" si="5"/>
        <v>-2.2522766990934695E-2</v>
      </c>
      <c r="I118" s="677">
        <f t="shared" si="6"/>
        <v>4.5737118332950688E-2</v>
      </c>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row>
    <row r="119" spans="1:35" ht="11.25" x14ac:dyDescent="0.2">
      <c r="A119" s="639"/>
      <c r="B119" s="115">
        <v>0.01</v>
      </c>
      <c r="C119" s="675">
        <f>NPV('Kopējie pieņēmumi'!B$18,D19:AI19)</f>
        <v>-442142.42805960611</v>
      </c>
      <c r="D119" s="677">
        <f t="shared" si="3"/>
        <v>1.6369208637785571E-2</v>
      </c>
      <c r="E119" s="675">
        <f>NPV('Kopējie pieņēmumi'!B$18,D30:AI30)</f>
        <v>223727.31984868937</v>
      </c>
      <c r="F119" s="678">
        <f t="shared" si="4"/>
        <v>2.1651958278843262</v>
      </c>
      <c r="G119" s="114"/>
      <c r="H119" s="677">
        <f t="shared" si="5"/>
        <v>-9.0091067963732341E-3</v>
      </c>
      <c r="I119" s="677">
        <f t="shared" si="6"/>
        <v>1.829484733318032E-2</v>
      </c>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row>
    <row r="120" spans="1:35" ht="11.25" x14ac:dyDescent="0.2">
      <c r="A120" s="639"/>
      <c r="B120" s="116">
        <v>0</v>
      </c>
      <c r="C120" s="676">
        <f>NPV('Kopējie pieņēmumi'!B$18,D20:AI20)</f>
        <v>-446161.94870395807</v>
      </c>
      <c r="D120" s="673">
        <f t="shared" si="3"/>
        <v>1.5781862166224236E-2</v>
      </c>
      <c r="E120" s="676">
        <f>NPV('Kopējie pieņēmumi'!B$18,D31:AI31)</f>
        <v>219707.79920433697</v>
      </c>
      <c r="F120" s="674">
        <f t="shared" si="4"/>
        <v>2.1272705165552939</v>
      </c>
      <c r="G120" s="114"/>
      <c r="H120" s="673">
        <f t="shared" si="5"/>
        <v>0</v>
      </c>
      <c r="I120" s="673">
        <f t="shared" si="6"/>
        <v>0</v>
      </c>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row>
    <row r="121" spans="1:35" ht="11.25" x14ac:dyDescent="0.2">
      <c r="A121" s="639"/>
      <c r="B121" s="115">
        <v>-0.01</v>
      </c>
      <c r="C121" s="675">
        <f>NPV('Kopējie pieņēmumi'!B$18,D21:AI21)</f>
        <v>-450181.46934831073</v>
      </c>
      <c r="D121" s="677">
        <f t="shared" si="3"/>
        <v>1.5187998679209169E-2</v>
      </c>
      <c r="E121" s="675">
        <f>NPV('Kopējie pieņēmumi'!B$18,D32:AI32)</f>
        <v>215688.27855998464</v>
      </c>
      <c r="F121" s="678">
        <f t="shared" si="4"/>
        <v>2.089055297377242</v>
      </c>
      <c r="G121" s="114"/>
      <c r="H121" s="677">
        <f t="shared" si="5"/>
        <v>9.0091067963748994E-3</v>
      </c>
      <c r="I121" s="677">
        <f t="shared" si="6"/>
        <v>-1.8294847333180098E-2</v>
      </c>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row>
    <row r="122" spans="1:35" ht="11.25" x14ac:dyDescent="0.2">
      <c r="A122" s="639"/>
      <c r="B122" s="115">
        <v>-2.5000000000000001E-2</v>
      </c>
      <c r="C122" s="675">
        <f>NPV('Kopējie pieņēmumi'!B$18,D22:AI22)</f>
        <v>-456210.75031483936</v>
      </c>
      <c r="D122" s="677">
        <f t="shared" si="3"/>
        <v>1.4284569236610256E-2</v>
      </c>
      <c r="E122" s="675">
        <f>NPV('Kopējie pieņēmumi'!B$18,D33:AI33)</f>
        <v>209658.99759345604</v>
      </c>
      <c r="F122" s="678">
        <f t="shared" si="4"/>
        <v>2.0311648491107999</v>
      </c>
      <c r="G122" s="114"/>
      <c r="H122" s="677">
        <f t="shared" si="5"/>
        <v>2.2522766990936249E-2</v>
      </c>
      <c r="I122" s="677">
        <f t="shared" si="6"/>
        <v>-4.5737118332950688E-2</v>
      </c>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row>
    <row r="123" spans="1:35" ht="11.25" x14ac:dyDescent="0.2">
      <c r="A123" s="639"/>
      <c r="B123" s="115">
        <v>-0.05</v>
      </c>
      <c r="C123" s="675">
        <f>NPV('Kopējie pieņēmumi'!B$18,D23:AI23)</f>
        <v>-466259.55192572053</v>
      </c>
      <c r="D123" s="677">
        <f t="shared" si="3"/>
        <v>1.2743474591666359E-2</v>
      </c>
      <c r="E123" s="675">
        <f>NPV('Kopējie pieņēmumi'!B$18,D34:AI34)</f>
        <v>199610.19598257515</v>
      </c>
      <c r="F123" s="678">
        <f t="shared" si="4"/>
        <v>1.9330669446349265</v>
      </c>
      <c r="G123" s="114"/>
      <c r="H123" s="677">
        <f t="shared" si="5"/>
        <v>4.5045533981872277E-2</v>
      </c>
      <c r="I123" s="677">
        <f t="shared" si="6"/>
        <v>-9.1474236665901154E-2</v>
      </c>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row>
    <row r="124" spans="1:35" ht="11.25" x14ac:dyDescent="0.2">
      <c r="A124" s="639"/>
      <c r="B124" s="115">
        <v>-7.4999999999999997E-2</v>
      </c>
      <c r="C124" s="675">
        <f>NPV('Kopējie pieņēmumi'!B$18,D24:AI24)</f>
        <v>-476308.35353660071</v>
      </c>
      <c r="D124" s="677">
        <f t="shared" si="3"/>
        <v>1.1155172008132874E-2</v>
      </c>
      <c r="E124" s="675">
        <f>NPV('Kopējie pieņēmumi'!B$18,D35:AI35)</f>
        <v>189561.39437169419</v>
      </c>
      <c r="F124" s="678">
        <f t="shared" si="4"/>
        <v>1.8327689621072802</v>
      </c>
      <c r="G124" s="114"/>
      <c r="H124" s="677">
        <f t="shared" si="5"/>
        <v>6.7568300972805861E-2</v>
      </c>
      <c r="I124" s="677">
        <f t="shared" si="6"/>
        <v>-0.13721135499885206</v>
      </c>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row>
    <row r="125" spans="1:35" ht="11.25" x14ac:dyDescent="0.2">
      <c r="A125" s="640"/>
      <c r="B125" s="115">
        <v>-0.1</v>
      </c>
      <c r="C125" s="675">
        <f>NPV('Kopējie pieņēmumi'!B$18,D25:AI25)</f>
        <v>-486357.15514748177</v>
      </c>
      <c r="D125" s="677">
        <f t="shared" si="3"/>
        <v>9.5158389623148931E-3</v>
      </c>
      <c r="E125" s="675">
        <f>NPV('Kopējie pieņēmumi'!B$18,D36:AI36)</f>
        <v>179512.59276081322</v>
      </c>
      <c r="F125" s="678">
        <f t="shared" si="4"/>
        <v>1.7300272113735926</v>
      </c>
      <c r="G125" s="114"/>
      <c r="H125" s="677">
        <f t="shared" si="5"/>
        <v>9.0091067963741667E-2</v>
      </c>
      <c r="I125" s="677">
        <f t="shared" si="6"/>
        <v>-0.18294847333180297</v>
      </c>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row>
    <row r="126" spans="1:35" ht="12.75" x14ac:dyDescent="0.2">
      <c r="A126" s="112" t="s">
        <v>194</v>
      </c>
      <c r="B126" s="111" t="s">
        <v>189</v>
      </c>
      <c r="C126" s="111" t="s">
        <v>190</v>
      </c>
      <c r="D126" s="111" t="s">
        <v>191</v>
      </c>
      <c r="E126" s="111" t="s">
        <v>192</v>
      </c>
      <c r="F126" s="111" t="s">
        <v>193</v>
      </c>
      <c r="H126" s="111" t="s">
        <v>190</v>
      </c>
      <c r="I126" s="111" t="s">
        <v>192</v>
      </c>
    </row>
    <row r="127" spans="1:35" ht="12.75" x14ac:dyDescent="0.2">
      <c r="A127" s="638"/>
      <c r="B127" s="115">
        <v>0.1</v>
      </c>
      <c r="C127" s="675">
        <f>NPV('Kopējie pieņēmumi'!B$18,D40:AI40)</f>
        <v>-361350.54739003885</v>
      </c>
      <c r="D127" s="677">
        <f t="shared" ref="D127:D137" si="7">IRR(D40:AI40,0)</f>
        <v>2.1979311730781159E-2</v>
      </c>
      <c r="E127" s="675">
        <f>NPV('Kopējie pieņēmumi'!B$18,D51:AI51)</f>
        <v>237932.22572742694</v>
      </c>
      <c r="F127" s="678">
        <f t="shared" ref="F127:F137" si="8">IRR(D51:AI51,0)</f>
        <v>2.5344526538641987</v>
      </c>
      <c r="H127" s="680">
        <f t="shared" ref="H127:H137" si="9">C127/$C$132-1</f>
        <v>-0.19009106796374098</v>
      </c>
      <c r="I127" s="680">
        <f t="shared" ref="I127:I137" si="10">E127/$E$132-1</f>
        <v>8.2948473331802441E-2</v>
      </c>
    </row>
    <row r="128" spans="1:35" ht="11.25" x14ac:dyDescent="0.2">
      <c r="A128" s="639"/>
      <c r="B128" s="115">
        <v>7.4999999999999997E-2</v>
      </c>
      <c r="C128" s="675">
        <f>NPV('Kopējie pieņēmumi'!B$18,D41:AI41)</f>
        <v>-382553.39771851827</v>
      </c>
      <c r="D128" s="677">
        <f t="shared" si="7"/>
        <v>2.0371202864695848E-2</v>
      </c>
      <c r="E128" s="675">
        <f>NPV('Kopējie pieņēmumi'!B$18,D52:AI52)</f>
        <v>233376.11909665444</v>
      </c>
      <c r="F128" s="678">
        <f t="shared" si="8"/>
        <v>2.4272497084564781</v>
      </c>
      <c r="H128" s="680">
        <f t="shared" si="9"/>
        <v>-0.14256830097280659</v>
      </c>
      <c r="I128" s="680">
        <f t="shared" si="10"/>
        <v>6.2211354998851887E-2</v>
      </c>
    </row>
    <row r="129" spans="1:9" ht="11.25" x14ac:dyDescent="0.2">
      <c r="A129" s="639"/>
      <c r="B129" s="115">
        <v>0.05</v>
      </c>
      <c r="C129" s="675">
        <f>NPV('Kopējie pieņēmumi'!B$18,D42:AI42)</f>
        <v>-403756.24804699869</v>
      </c>
      <c r="D129" s="677">
        <f t="shared" si="7"/>
        <v>1.8804140226976296E-2</v>
      </c>
      <c r="E129" s="675">
        <f>NPV('Kopējie pieņēmumi'!B$18,D53:AI53)</f>
        <v>228820.01246588191</v>
      </c>
      <c r="F129" s="678">
        <f t="shared" si="8"/>
        <v>2.3238557671243143</v>
      </c>
      <c r="H129" s="680">
        <f t="shared" si="9"/>
        <v>-9.504553398186999E-2</v>
      </c>
      <c r="I129" s="680">
        <f t="shared" si="10"/>
        <v>4.147423666590111E-2</v>
      </c>
    </row>
    <row r="130" spans="1:9" ht="11.25" x14ac:dyDescent="0.2">
      <c r="A130" s="639"/>
      <c r="B130" s="115">
        <v>2.5000000000000001E-2</v>
      </c>
      <c r="C130" s="675">
        <f>NPV('Kopējie pieņēmumi'!B$18,D43:AI43)</f>
        <v>-424959.09837547864</v>
      </c>
      <c r="D130" s="677">
        <f t="shared" si="7"/>
        <v>1.7275238471495591E-2</v>
      </c>
      <c r="E130" s="675">
        <f>NPV('Kopējie pieņēmumi'!B$18,D54:AI54)</f>
        <v>224263.90583510947</v>
      </c>
      <c r="F130" s="678">
        <f t="shared" si="8"/>
        <v>2.2239579089818613</v>
      </c>
      <c r="H130" s="680">
        <f t="shared" si="9"/>
        <v>-4.7522766990934384E-2</v>
      </c>
      <c r="I130" s="680">
        <f t="shared" si="10"/>
        <v>2.0737118332950555E-2</v>
      </c>
    </row>
    <row r="131" spans="1:9" ht="11.25" x14ac:dyDescent="0.2">
      <c r="A131" s="639"/>
      <c r="B131" s="115">
        <v>0.01</v>
      </c>
      <c r="C131" s="675">
        <f>NPV('Kopējie pieņēmumi'!B$18,D44:AI44)</f>
        <v>-437680.80857256654</v>
      </c>
      <c r="D131" s="677">
        <f t="shared" si="7"/>
        <v>1.6375108807903827E-2</v>
      </c>
      <c r="E131" s="675">
        <f>NPV('Kopējie pieņēmumi'!B$18,D55:AI55)</f>
        <v>221530.24185664594</v>
      </c>
      <c r="F131" s="678">
        <f t="shared" si="8"/>
        <v>2.1655774685633395</v>
      </c>
      <c r="H131" s="680">
        <f t="shared" si="9"/>
        <v>-1.9009106796373243E-2</v>
      </c>
      <c r="I131" s="680">
        <f t="shared" si="10"/>
        <v>8.2948473331800887E-3</v>
      </c>
    </row>
    <row r="132" spans="1:9" ht="11.25" x14ac:dyDescent="0.2">
      <c r="A132" s="639"/>
      <c r="B132" s="116">
        <v>0</v>
      </c>
      <c r="C132" s="676">
        <f>NPV('Kopējie pieņēmumi'!B$18,D45:AI45)</f>
        <v>-446161.94870395807</v>
      </c>
      <c r="D132" s="673">
        <f t="shared" si="7"/>
        <v>1.5781862166224236E-2</v>
      </c>
      <c r="E132" s="676">
        <f>NPV('Kopējie pieņēmumi'!B$18,D56:AI56)</f>
        <v>219707.79920433697</v>
      </c>
      <c r="F132" s="674">
        <f t="shared" si="8"/>
        <v>2.1272705165552939</v>
      </c>
      <c r="H132" s="682">
        <f t="shared" si="9"/>
        <v>0</v>
      </c>
      <c r="I132" s="682">
        <f t="shared" si="10"/>
        <v>0</v>
      </c>
    </row>
    <row r="133" spans="1:9" ht="11.25" x14ac:dyDescent="0.2">
      <c r="A133" s="639"/>
      <c r="B133" s="115">
        <v>-0.01</v>
      </c>
      <c r="C133" s="675">
        <f>NPV('Kopējie pieņēmumi'!B$18,D46:AI46)</f>
        <v>-454643.08883535053</v>
      </c>
      <c r="D133" s="677">
        <f t="shared" si="7"/>
        <v>1.5193911065246812E-2</v>
      </c>
      <c r="E133" s="675">
        <f>NPV('Kopējie pieņēmumi'!B$18,D57:AI57)</f>
        <v>217885.35655202798</v>
      </c>
      <c r="F133" s="678">
        <f t="shared" si="8"/>
        <v>2.0894351218079832</v>
      </c>
      <c r="H133" s="680">
        <f t="shared" si="9"/>
        <v>1.9009106796375352E-2</v>
      </c>
      <c r="I133" s="680">
        <f t="shared" si="10"/>
        <v>-8.2948473331801997E-3</v>
      </c>
    </row>
    <row r="134" spans="1:9" ht="11.25" x14ac:dyDescent="0.2">
      <c r="A134" s="639"/>
      <c r="B134" s="115">
        <v>-2.5000000000000001E-2</v>
      </c>
      <c r="C134" s="675">
        <f>NPV('Kopējie pieņēmumi'!B$18,D47:AI47)</f>
        <v>-467364.79903243814</v>
      </c>
      <c r="D134" s="677">
        <f t="shared" si="7"/>
        <v>1.4321596655078039E-2</v>
      </c>
      <c r="E134" s="675">
        <f>NPV('Kopējie pieņēmumi'!B$18,D58:AI58)</f>
        <v>215151.69257356439</v>
      </c>
      <c r="F134" s="678">
        <f t="shared" si="8"/>
        <v>2.0335318131827687</v>
      </c>
      <c r="H134" s="680">
        <f t="shared" si="9"/>
        <v>4.7522766990935938E-2</v>
      </c>
      <c r="I134" s="680">
        <f t="shared" si="10"/>
        <v>-2.0737118332950999E-2</v>
      </c>
    </row>
    <row r="135" spans="1:9" ht="11.25" x14ac:dyDescent="0.2">
      <c r="A135" s="639"/>
      <c r="B135" s="115">
        <v>-0.05</v>
      </c>
      <c r="C135" s="675">
        <f>NPV('Kopējie pieņēmumi'!B$18,D48:AI48)</f>
        <v>-488567.64936091792</v>
      </c>
      <c r="D135" s="677">
        <f t="shared" si="7"/>
        <v>1.289222291992842E-2</v>
      </c>
      <c r="E135" s="675">
        <f>NPV('Kopējie pieņēmumi'!B$18,D59:AI59)</f>
        <v>210595.58594279192</v>
      </c>
      <c r="F135" s="678">
        <f t="shared" si="8"/>
        <v>1.9425008758807847</v>
      </c>
      <c r="H135" s="680">
        <f t="shared" si="9"/>
        <v>9.5045533981870989E-2</v>
      </c>
      <c r="I135" s="680">
        <f t="shared" si="10"/>
        <v>-4.1474236665901554E-2</v>
      </c>
    </row>
    <row r="136" spans="1:9" ht="11.25" x14ac:dyDescent="0.2">
      <c r="A136" s="639"/>
      <c r="B136" s="115">
        <v>-7.4999999999999997E-2</v>
      </c>
      <c r="C136" s="675">
        <f>NPV('Kopējie pieņēmumi'!B$18,D49:AI49)</f>
        <v>-509770.49968939787</v>
      </c>
      <c r="D136" s="677">
        <f t="shared" si="7"/>
        <v>1.1491695800341484E-2</v>
      </c>
      <c r="E136" s="675">
        <f>NPV('Kopējie pieņēmumi'!B$18,D60:AI60)</f>
        <v>206039.47931201945</v>
      </c>
      <c r="F136" s="678">
        <f t="shared" si="8"/>
        <v>1.8539550504816424</v>
      </c>
      <c r="H136" s="680">
        <f t="shared" si="9"/>
        <v>0.14256830097280671</v>
      </c>
      <c r="I136" s="680">
        <f t="shared" si="10"/>
        <v>-6.2211354998852109E-2</v>
      </c>
    </row>
    <row r="137" spans="1:9" ht="11.25" x14ac:dyDescent="0.2">
      <c r="A137" s="640"/>
      <c r="B137" s="115">
        <v>-0.1</v>
      </c>
      <c r="C137" s="675">
        <f>NPV('Kopējie pieņēmumi'!B$18,D50:AI50)</f>
        <v>-530973.35001787764</v>
      </c>
      <c r="D137" s="677">
        <f t="shared" si="7"/>
        <v>1.0118125044626058E-2</v>
      </c>
      <c r="E137" s="675">
        <f>NPV('Kopējie pieņēmumi'!B$18,D61:AI61)</f>
        <v>201483.37268124695</v>
      </c>
      <c r="F137" s="678">
        <f t="shared" si="8"/>
        <v>1.767687711077202</v>
      </c>
      <c r="H137" s="680">
        <f t="shared" si="9"/>
        <v>0.19009106796374176</v>
      </c>
      <c r="I137" s="680">
        <f t="shared" si="10"/>
        <v>-8.2948473331802774E-2</v>
      </c>
    </row>
    <row r="138" spans="1:9" ht="12.75" x14ac:dyDescent="0.2">
      <c r="A138" s="112" t="s">
        <v>8</v>
      </c>
      <c r="B138" s="111" t="s">
        <v>189</v>
      </c>
      <c r="C138" s="111" t="s">
        <v>190</v>
      </c>
      <c r="D138" s="111" t="s">
        <v>191</v>
      </c>
      <c r="E138" s="111" t="s">
        <v>192</v>
      </c>
      <c r="F138" s="111" t="s">
        <v>193</v>
      </c>
      <c r="H138" s="111" t="s">
        <v>190</v>
      </c>
      <c r="I138" s="111" t="s">
        <v>192</v>
      </c>
    </row>
    <row r="139" spans="1:9" ht="12.75" x14ac:dyDescent="0.2">
      <c r="A139" s="638"/>
      <c r="B139" s="115">
        <v>0.1</v>
      </c>
      <c r="C139" s="675">
        <f>NPV('Kopējie pieņēmumi'!B$18,D65:AI65)</f>
        <v>-366643.57615250006</v>
      </c>
      <c r="D139" s="677">
        <f t="shared" ref="D139:D149" si="11">IRR(D65:AI65,0)</f>
        <v>2.0923514865824888E-2</v>
      </c>
      <c r="E139" s="675">
        <f>NPV('Kopējie pieņēmumi'!B$18,D76:AI76)</f>
        <v>299226.17175579508</v>
      </c>
      <c r="F139" s="678" t="e">
        <f t="shared" ref="F139:F149" si="12">IRR(D76:AI76,0)</f>
        <v>#NUM!</v>
      </c>
      <c r="H139" s="680">
        <f t="shared" ref="H139:H149" si="13">C139/$C$144-1</f>
        <v>-0.17822759825764711</v>
      </c>
      <c r="I139" s="680">
        <f t="shared" ref="I139:I149" si="14">E139/$E$144-1</f>
        <v>0.36192785526699889</v>
      </c>
    </row>
    <row r="140" spans="1:9" ht="11.25" x14ac:dyDescent="0.2">
      <c r="A140" s="639"/>
      <c r="B140" s="115">
        <v>7.4999999999999997E-2</v>
      </c>
      <c r="C140" s="675">
        <f>NPV('Kopējie pieņēmumi'!B$18,D66:AI66)</f>
        <v>-386523.16929036443</v>
      </c>
      <c r="D140" s="677">
        <f t="shared" si="11"/>
        <v>1.957242292339334E-2</v>
      </c>
      <c r="E140" s="675">
        <f>NPV('Kopējie pieņēmumi'!B$18,D77:AI77)</f>
        <v>279346.57861793053</v>
      </c>
      <c r="F140" s="678" t="e">
        <f t="shared" si="12"/>
        <v>#NUM!</v>
      </c>
      <c r="H140" s="680">
        <f t="shared" si="13"/>
        <v>-0.13367069869323567</v>
      </c>
      <c r="I140" s="680">
        <f t="shared" si="14"/>
        <v>0.27144589145024889</v>
      </c>
    </row>
    <row r="141" spans="1:9" ht="11.25" x14ac:dyDescent="0.2">
      <c r="A141" s="639"/>
      <c r="B141" s="115">
        <v>0.05</v>
      </c>
      <c r="C141" s="675">
        <f>NPV('Kopējie pieņēmumi'!B$18,D67:AI67)</f>
        <v>-406402.76242822898</v>
      </c>
      <c r="D141" s="677">
        <f t="shared" si="11"/>
        <v>1.8266967534591672E-2</v>
      </c>
      <c r="E141" s="675">
        <f>NPV('Kopējie pieņēmumi'!B$18,D78:AI78)</f>
        <v>259466.98548006598</v>
      </c>
      <c r="F141" s="678" t="e">
        <f t="shared" si="12"/>
        <v>#NUM!</v>
      </c>
      <c r="H141" s="680">
        <f t="shared" si="13"/>
        <v>-8.9113799128823779E-2</v>
      </c>
      <c r="I141" s="680">
        <f t="shared" si="14"/>
        <v>0.18096392763349911</v>
      </c>
    </row>
    <row r="142" spans="1:9" ht="11.25" x14ac:dyDescent="0.2">
      <c r="A142" s="639"/>
      <c r="B142" s="115">
        <v>2.5000000000000001E-2</v>
      </c>
      <c r="C142" s="675">
        <f>NPV('Kopējie pieņēmumi'!B$18,D68:AI68)</f>
        <v>-426282.35556609352</v>
      </c>
      <c r="D142" s="677">
        <f t="shared" si="11"/>
        <v>1.7004309873973833E-2</v>
      </c>
      <c r="E142" s="675">
        <f>NPV('Kopējie pieņēmumi'!B$18,D79:AI79)</f>
        <v>239587.39234220149</v>
      </c>
      <c r="F142" s="678" t="e">
        <f t="shared" si="12"/>
        <v>#NUM!</v>
      </c>
      <c r="H142" s="680">
        <f t="shared" si="13"/>
        <v>-4.4556899564411889E-2</v>
      </c>
      <c r="I142" s="680">
        <f t="shared" si="14"/>
        <v>9.0481963816749555E-2</v>
      </c>
    </row>
    <row r="143" spans="1:9" ht="11.25" x14ac:dyDescent="0.2">
      <c r="A143" s="639"/>
      <c r="B143" s="115">
        <v>0.01</v>
      </c>
      <c r="C143" s="675">
        <f>NPV('Kopējie pieņēmumi'!B$18,D69:AI69)</f>
        <v>-438210.11144881224</v>
      </c>
      <c r="D143" s="677">
        <f t="shared" si="11"/>
        <v>1.6266172106540466E-2</v>
      </c>
      <c r="E143" s="675">
        <f>NPV('Kopējie pieņēmumi'!B$18,D80:AI80)</f>
        <v>227659.63645948278</v>
      </c>
      <c r="F143" s="678" t="e">
        <f t="shared" si="12"/>
        <v>#NUM!</v>
      </c>
      <c r="H143" s="680">
        <f t="shared" si="13"/>
        <v>-1.7822759825764756E-2</v>
      </c>
      <c r="I143" s="680">
        <f t="shared" si="14"/>
        <v>3.6192785526699911E-2</v>
      </c>
    </row>
    <row r="144" spans="1:9" ht="11.25" x14ac:dyDescent="0.2">
      <c r="A144" s="639"/>
      <c r="B144" s="116">
        <v>0</v>
      </c>
      <c r="C144" s="676">
        <f>NPV('Kopējie pieņēmumi'!B$18,D70:AI70)</f>
        <v>-446161.94870395807</v>
      </c>
      <c r="D144" s="673">
        <f t="shared" si="11"/>
        <v>1.5781862166224236E-2</v>
      </c>
      <c r="E144" s="676">
        <f>NPV('Kopējie pieņēmumi'!B$18,D81:AI81)</f>
        <v>219707.79920433697</v>
      </c>
      <c r="F144" s="674">
        <f t="shared" si="12"/>
        <v>2.1272705165552939</v>
      </c>
      <c r="H144" s="682">
        <f t="shared" si="13"/>
        <v>0</v>
      </c>
      <c r="I144" s="682">
        <f t="shared" si="14"/>
        <v>0</v>
      </c>
    </row>
    <row r="145" spans="1:9" ht="11.25" x14ac:dyDescent="0.2">
      <c r="A145" s="639"/>
      <c r="B145" s="115">
        <v>-0.01</v>
      </c>
      <c r="C145" s="675">
        <f>NPV('Kopējie pieņēmumi'!B$18,D71:AI71)</f>
        <v>-454113.78595910384</v>
      </c>
      <c r="D145" s="677">
        <f t="shared" si="11"/>
        <v>1.5303605191182568E-2</v>
      </c>
      <c r="E145" s="675">
        <f>NPV('Kopējie pieņēmumi'!B$18,D82:AI82)</f>
        <v>211755.96194919117</v>
      </c>
      <c r="F145" s="678">
        <f t="shared" si="12"/>
        <v>0.68474146217012866</v>
      </c>
      <c r="H145" s="680">
        <f t="shared" si="13"/>
        <v>1.7822759825764756E-2</v>
      </c>
      <c r="I145" s="680">
        <f t="shared" si="14"/>
        <v>-3.61927855266998E-2</v>
      </c>
    </row>
    <row r="146" spans="1:9" ht="11.25" x14ac:dyDescent="0.2">
      <c r="A146" s="639"/>
      <c r="B146" s="115">
        <v>-2.5000000000000001E-2</v>
      </c>
      <c r="C146" s="675">
        <f>NPV('Kopējie pieņēmumi'!B$18,D72:AI72)</f>
        <v>-466041.5418418225</v>
      </c>
      <c r="D146" s="677">
        <f t="shared" si="11"/>
        <v>1.4597259336847745E-2</v>
      </c>
      <c r="E146" s="675">
        <f>NPV('Kopējie pieņēmumi'!B$18,D83:AI83)</f>
        <v>199828.20606647243</v>
      </c>
      <c r="F146" s="678">
        <f t="shared" si="12"/>
        <v>0.3548118087862604</v>
      </c>
      <c r="H146" s="680">
        <f t="shared" si="13"/>
        <v>4.4556899564411667E-2</v>
      </c>
      <c r="I146" s="680">
        <f t="shared" si="14"/>
        <v>-9.0481963816749778E-2</v>
      </c>
    </row>
    <row r="147" spans="1:9" ht="11.25" x14ac:dyDescent="0.2">
      <c r="A147" s="639"/>
      <c r="B147" s="115">
        <v>-0.05</v>
      </c>
      <c r="C147" s="675">
        <f>NPV('Kopējie pieņēmumi'!B$18,D73:AI73)</f>
        <v>-485921.13497968705</v>
      </c>
      <c r="D147" s="677">
        <f t="shared" si="11"/>
        <v>1.3448334516171334E-2</v>
      </c>
      <c r="E147" s="675">
        <f>NPV('Kopējie pieņēmumi'!B$18,D84:AI84)</f>
        <v>179948.61292860791</v>
      </c>
      <c r="F147" s="678">
        <f t="shared" si="12"/>
        <v>0.20945798367550728</v>
      </c>
      <c r="H147" s="680">
        <f t="shared" si="13"/>
        <v>8.9113799128823556E-2</v>
      </c>
      <c r="I147" s="680">
        <f t="shared" si="14"/>
        <v>-0.18096392763349944</v>
      </c>
    </row>
    <row r="148" spans="1:9" ht="11.25" x14ac:dyDescent="0.2">
      <c r="A148" s="639"/>
      <c r="B148" s="115">
        <v>-7.4999999999999997E-2</v>
      </c>
      <c r="C148" s="675">
        <f>NPV('Kopējie pieņēmumi'!B$18,D74:AI74)</f>
        <v>-505800.72811755165</v>
      </c>
      <c r="D148" s="677">
        <f t="shared" si="11"/>
        <v>1.2333097789325675E-2</v>
      </c>
      <c r="E148" s="675">
        <f>NPV('Kopējie pieņēmumi'!B$18,D85:AI85)</f>
        <v>160069.01979074333</v>
      </c>
      <c r="F148" s="678">
        <f t="shared" si="12"/>
        <v>0.15717700910811172</v>
      </c>
      <c r="H148" s="680">
        <f t="shared" si="13"/>
        <v>0.13367069869323545</v>
      </c>
      <c r="I148" s="680">
        <f t="shared" si="14"/>
        <v>-0.27144589145024933</v>
      </c>
    </row>
    <row r="149" spans="1:9" ht="11.25" x14ac:dyDescent="0.2">
      <c r="A149" s="640"/>
      <c r="B149" s="115">
        <v>-0.1</v>
      </c>
      <c r="C149" s="675">
        <f>NPV('Kopējie pieņēmumi'!B$18,D75:AI75)</f>
        <v>-525680.32125541614</v>
      </c>
      <c r="D149" s="677">
        <f t="shared" si="11"/>
        <v>1.1249717693084138E-2</v>
      </c>
      <c r="E149" s="675">
        <f>NPV('Kopējie pieņēmumi'!B$18,D86:AI86)</f>
        <v>140189.42665287884</v>
      </c>
      <c r="F149" s="678">
        <f t="shared" si="12"/>
        <v>0.12925529957045323</v>
      </c>
      <c r="H149" s="680">
        <f t="shared" si="13"/>
        <v>0.17822759825764733</v>
      </c>
      <c r="I149" s="680">
        <f t="shared" si="14"/>
        <v>-0.36192785526699889</v>
      </c>
    </row>
    <row r="150" spans="1:9" ht="12.75" x14ac:dyDescent="0.2">
      <c r="A150" s="112" t="s">
        <v>195</v>
      </c>
      <c r="B150" s="111" t="s">
        <v>189</v>
      </c>
      <c r="C150" s="111" t="s">
        <v>190</v>
      </c>
      <c r="D150" s="111" t="s">
        <v>191</v>
      </c>
      <c r="E150" s="111" t="s">
        <v>192</v>
      </c>
      <c r="F150" s="111" t="s">
        <v>193</v>
      </c>
      <c r="H150" s="111" t="s">
        <v>190</v>
      </c>
      <c r="I150" s="111" t="s">
        <v>192</v>
      </c>
    </row>
    <row r="151" spans="1:9" ht="12.75" x14ac:dyDescent="0.2">
      <c r="A151" s="638"/>
      <c r="B151" s="115">
        <v>0.1</v>
      </c>
      <c r="C151" s="675">
        <f>NPV('Kopējie pieņēmumi'!B$18,D90:AI90)</f>
        <v>-446161.94870395807</v>
      </c>
      <c r="D151" s="677">
        <f t="shared" ref="D151:D161" si="15">IRR(D90:AI90,0)</f>
        <v>1.5781862166224236E-2</v>
      </c>
      <c r="E151" s="675">
        <f>NPV('Kopējie pieņēmumi'!$B$18,D101:AI101)</f>
        <v>268282.16629884788</v>
      </c>
      <c r="F151" s="678" t="e">
        <f t="shared" ref="F151:F161" si="16">IRR(D101:AI101,0)</f>
        <v>#NUM!</v>
      </c>
      <c r="H151" s="680">
        <f t="shared" ref="H151:H161" si="17">C151/$C$156-1</f>
        <v>0</v>
      </c>
      <c r="I151" s="680">
        <f t="shared" ref="I151:I161" si="18">E151/$E$156-1</f>
        <v>0.22108622120116372</v>
      </c>
    </row>
    <row r="152" spans="1:9" ht="11.25" x14ac:dyDescent="0.2">
      <c r="A152" s="639"/>
      <c r="B152" s="115">
        <v>7.4999999999999997E-2</v>
      </c>
      <c r="C152" s="675">
        <f>NPV('Kopējie pieņēmumi'!B$18,D91:AI91)</f>
        <v>-446161.94870395807</v>
      </c>
      <c r="D152" s="677">
        <f t="shared" si="15"/>
        <v>1.5781862166224236E-2</v>
      </c>
      <c r="E152" s="675">
        <f>NPV('Kopējie pieņēmumi'!$B$18,D102:AI102)</f>
        <v>256138.57452522017</v>
      </c>
      <c r="F152" s="678" t="e">
        <f t="shared" si="16"/>
        <v>#NUM!</v>
      </c>
      <c r="H152" s="680">
        <f t="shared" si="17"/>
        <v>0</v>
      </c>
      <c r="I152" s="680">
        <f t="shared" si="18"/>
        <v>0.16581466590087279</v>
      </c>
    </row>
    <row r="153" spans="1:9" ht="11.25" x14ac:dyDescent="0.2">
      <c r="A153" s="639"/>
      <c r="B153" s="115">
        <v>0.05</v>
      </c>
      <c r="C153" s="675">
        <f>NPV('Kopējie pieņēmumi'!B$18,D92:AI92)</f>
        <v>-446161.94870395807</v>
      </c>
      <c r="D153" s="677">
        <f t="shared" si="15"/>
        <v>1.5781862166224236E-2</v>
      </c>
      <c r="E153" s="675">
        <f>NPV('Kopējie pieņēmumi'!$B$18,D103:AI103)</f>
        <v>243994.98275159247</v>
      </c>
      <c r="F153" s="678" t="e">
        <f t="shared" si="16"/>
        <v>#NUM!</v>
      </c>
      <c r="H153" s="680">
        <f t="shared" si="17"/>
        <v>0</v>
      </c>
      <c r="I153" s="680">
        <f t="shared" si="18"/>
        <v>0.11054311060058208</v>
      </c>
    </row>
    <row r="154" spans="1:9" ht="11.25" x14ac:dyDescent="0.2">
      <c r="A154" s="639"/>
      <c r="B154" s="115">
        <v>2.5000000000000001E-2</v>
      </c>
      <c r="C154" s="675">
        <f>NPV('Kopējie pieņēmumi'!B$18,D93:AI93)</f>
        <v>-446161.94870395807</v>
      </c>
      <c r="D154" s="677">
        <f t="shared" si="15"/>
        <v>1.5781862166224236E-2</v>
      </c>
      <c r="E154" s="675">
        <f>NPV('Kopējie pieņēmumi'!$B$18,D104:AI104)</f>
        <v>231851.39097796474</v>
      </c>
      <c r="F154" s="678" t="e">
        <f t="shared" si="16"/>
        <v>#NUM!</v>
      </c>
      <c r="H154" s="680">
        <f t="shared" si="17"/>
        <v>0</v>
      </c>
      <c r="I154" s="680">
        <f t="shared" si="18"/>
        <v>5.5271555300291153E-2</v>
      </c>
    </row>
    <row r="155" spans="1:9" ht="11.25" x14ac:dyDescent="0.2">
      <c r="A155" s="639"/>
      <c r="B155" s="115">
        <v>0.01</v>
      </c>
      <c r="C155" s="675">
        <f>NPV('Kopējie pieņēmumi'!B$18,D94:AI94)</f>
        <v>-446161.94870395807</v>
      </c>
      <c r="D155" s="677">
        <f t="shared" si="15"/>
        <v>1.5781862166224236E-2</v>
      </c>
      <c r="E155" s="675">
        <f>NPV('Kopējie pieņēmumi'!$B$18,D105:AI105)</f>
        <v>224565.23591378806</v>
      </c>
      <c r="F155" s="678" t="e">
        <f t="shared" si="16"/>
        <v>#NUM!</v>
      </c>
      <c r="H155" s="680">
        <f t="shared" si="17"/>
        <v>0</v>
      </c>
      <c r="I155" s="680">
        <f t="shared" si="18"/>
        <v>2.2108622120116328E-2</v>
      </c>
    </row>
    <row r="156" spans="1:9" ht="11.25" x14ac:dyDescent="0.2">
      <c r="A156" s="639"/>
      <c r="B156" s="116">
        <v>0</v>
      </c>
      <c r="C156" s="676">
        <f>NPV('Kopējie pieņēmumi'!B$18,D95:AI95)</f>
        <v>-446161.94870395807</v>
      </c>
      <c r="D156" s="673">
        <f t="shared" si="15"/>
        <v>1.5781862166224236E-2</v>
      </c>
      <c r="E156" s="676">
        <f>NPV('Kopējie pieņēmumi'!$B$18,D106:AI106)</f>
        <v>219707.79920433697</v>
      </c>
      <c r="F156" s="674">
        <f t="shared" si="16"/>
        <v>2.1272705165552939</v>
      </c>
      <c r="G156" s="509"/>
      <c r="H156" s="682">
        <f t="shared" si="17"/>
        <v>0</v>
      </c>
      <c r="I156" s="682">
        <f t="shared" si="18"/>
        <v>0</v>
      </c>
    </row>
    <row r="157" spans="1:9" ht="11.25" x14ac:dyDescent="0.2">
      <c r="A157" s="639"/>
      <c r="B157" s="115">
        <v>-0.01</v>
      </c>
      <c r="C157" s="675">
        <f>NPV('Kopējie pieņēmumi'!B$18,D96:AI96)</f>
        <v>-446161.94870395807</v>
      </c>
      <c r="D157" s="677">
        <f t="shared" si="15"/>
        <v>1.5781862166224236E-2</v>
      </c>
      <c r="E157" s="675">
        <f>NPV('Kopējie pieņēmumi'!$B$18,D107:AI107)</f>
        <v>214850.36249488586</v>
      </c>
      <c r="F157" s="678">
        <f t="shared" si="16"/>
        <v>0.92652684408052277</v>
      </c>
      <c r="H157" s="680">
        <f t="shared" si="17"/>
        <v>0</v>
      </c>
      <c r="I157" s="680">
        <f t="shared" si="18"/>
        <v>-2.2108622120116439E-2</v>
      </c>
    </row>
    <row r="158" spans="1:9" ht="11.25" x14ac:dyDescent="0.2">
      <c r="A158" s="639"/>
      <c r="B158" s="115">
        <v>-2.5000000000000001E-2</v>
      </c>
      <c r="C158" s="675">
        <f>NPV('Kopējie pieņēmumi'!B$18,D97:AI97)</f>
        <v>-446161.94870395807</v>
      </c>
      <c r="D158" s="677">
        <f t="shared" si="15"/>
        <v>1.5781862166224236E-2</v>
      </c>
      <c r="E158" s="675">
        <f>NPV('Kopējie pieņēmumi'!$B$18,D108:AI108)</f>
        <v>207564.20743070921</v>
      </c>
      <c r="F158" s="678">
        <f t="shared" si="16"/>
        <v>0.51388092227971072</v>
      </c>
      <c r="H158" s="680">
        <f t="shared" si="17"/>
        <v>0</v>
      </c>
      <c r="I158" s="680">
        <f t="shared" si="18"/>
        <v>-5.5271555300291042E-2</v>
      </c>
    </row>
    <row r="159" spans="1:9" ht="11.25" x14ac:dyDescent="0.2">
      <c r="A159" s="639"/>
      <c r="B159" s="115">
        <v>-0.05</v>
      </c>
      <c r="C159" s="675">
        <f>NPV('Kopējie pieņēmumi'!B$18,D98:AI98)</f>
        <v>-446161.94870395807</v>
      </c>
      <c r="D159" s="677">
        <f t="shared" si="15"/>
        <v>1.5781862166224236E-2</v>
      </c>
      <c r="E159" s="675">
        <f>NPV('Kopējie pieņēmumi'!$B$18,D109:AI109)</f>
        <v>195420.61565708145</v>
      </c>
      <c r="F159" s="678">
        <f t="shared" si="16"/>
        <v>0.30477468279585773</v>
      </c>
      <c r="H159" s="680">
        <f t="shared" si="17"/>
        <v>0</v>
      </c>
      <c r="I159" s="680">
        <f t="shared" si="18"/>
        <v>-0.1105431106005822</v>
      </c>
    </row>
    <row r="160" spans="1:9" ht="11.25" x14ac:dyDescent="0.2">
      <c r="A160" s="639"/>
      <c r="B160" s="115">
        <v>-7.4999999999999997E-2</v>
      </c>
      <c r="C160" s="675">
        <f>NPV('Kopējie pieņēmumi'!B$18,D99:AI99)</f>
        <v>-446161.94870395807</v>
      </c>
      <c r="D160" s="677">
        <f t="shared" si="15"/>
        <v>1.5781862166224236E-2</v>
      </c>
      <c r="E160" s="675">
        <f>NPV('Kopējie pieņēmumi'!$B$18,D110:AI110)</f>
        <v>183277.02388345372</v>
      </c>
      <c r="F160" s="678">
        <f t="shared" si="16"/>
        <v>0.22371954144207074</v>
      </c>
      <c r="H160" s="680">
        <f t="shared" si="17"/>
        <v>0</v>
      </c>
      <c r="I160" s="680">
        <f t="shared" si="18"/>
        <v>-0.16581466590087313</v>
      </c>
    </row>
    <row r="161" spans="1:9" ht="11.25" x14ac:dyDescent="0.2">
      <c r="A161" s="640"/>
      <c r="B161" s="115">
        <v>-0.1</v>
      </c>
      <c r="C161" s="675">
        <f>NPV('Kopējie pieņēmumi'!B$18,D100:AI100)</f>
        <v>-446161.94870395807</v>
      </c>
      <c r="D161" s="677">
        <f t="shared" si="15"/>
        <v>1.5781862166224236E-2</v>
      </c>
      <c r="E161" s="675">
        <f>NPV('Kopējie pieņēmumi'!$B$18,D111:AI111)</f>
        <v>171133.43210982595</v>
      </c>
      <c r="F161" s="678">
        <f t="shared" si="16"/>
        <v>0.18151895236607163</v>
      </c>
      <c r="H161" s="680">
        <f t="shared" si="17"/>
        <v>0</v>
      </c>
      <c r="I161" s="680">
        <f t="shared" si="18"/>
        <v>-0.22108622120116428</v>
      </c>
    </row>
  </sheetData>
  <mergeCells count="3">
    <mergeCell ref="A89:AI89"/>
    <mergeCell ref="A64:AI64"/>
    <mergeCell ref="A39:AI39"/>
  </mergeCells>
  <phoneticPr fontId="2" type="noConversion"/>
  <pageMargins left="0.7" right="0.7" top="0.75" bottom="0.75" header="0.3" footer="0.3"/>
  <pageSetup paperSize="9" scale="65"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39"/>
  <sheetViews>
    <sheetView showGridLines="0" topLeftCell="A52" zoomScale="85" workbookViewId="0">
      <selection activeCell="F18" sqref="F18"/>
    </sheetView>
  </sheetViews>
  <sheetFormatPr defaultRowHeight="10.5" x14ac:dyDescent="0.2"/>
  <cols>
    <col min="1" max="1" width="47.140625" style="312" customWidth="1"/>
    <col min="2" max="2" width="16" style="312" customWidth="1"/>
    <col min="3" max="35" width="11.140625" style="312" customWidth="1"/>
    <col min="36" max="16384" width="9.140625" style="312"/>
  </cols>
  <sheetData>
    <row r="1" spans="1:37" ht="19.5" x14ac:dyDescent="0.2">
      <c r="A1" s="505" t="str">
        <f>'Datu ievade'!B12</f>
        <v>SIA "Dobeles Ūdens"</v>
      </c>
      <c r="B1" s="506"/>
    </row>
    <row r="2" spans="1:37" ht="18" x14ac:dyDescent="0.2">
      <c r="A2" s="489" t="str">
        <f>'Datu ievade'!B13</f>
        <v>"Kanalizācijas tīklu paplašināšana Dobeles aglomerācijā" II kārta</v>
      </c>
    </row>
    <row r="3" spans="1:37" ht="18" x14ac:dyDescent="0.2">
      <c r="A3" s="507" t="s">
        <v>135</v>
      </c>
      <c r="B3" s="507"/>
      <c r="C3" s="507"/>
    </row>
    <row r="4" spans="1:37" ht="14.25" customHeight="1" x14ac:dyDescent="0.2">
      <c r="C4" s="637"/>
      <c r="D4" s="637"/>
      <c r="E4" s="637"/>
      <c r="F4" s="637"/>
    </row>
    <row r="5" spans="1:37" ht="14.25" customHeight="1" x14ac:dyDescent="0.15">
      <c r="A5" s="111" t="s">
        <v>176</v>
      </c>
      <c r="B5" s="111" t="s">
        <v>177</v>
      </c>
      <c r="C5" s="116">
        <f>3%</f>
        <v>0.03</v>
      </c>
      <c r="D5" s="116">
        <v>0.05</v>
      </c>
      <c r="E5" s="116">
        <f>'Kopējie pieņēmumi'!B18</f>
        <v>6.0999999999999999E-2</v>
      </c>
      <c r="F5" s="116">
        <v>0.1</v>
      </c>
    </row>
    <row r="6" spans="1:37" ht="14.25" customHeight="1" x14ac:dyDescent="0.2">
      <c r="A6" s="112"/>
      <c r="B6" s="113"/>
      <c r="C6" s="113"/>
      <c r="D6" s="113"/>
      <c r="E6" s="113"/>
      <c r="F6" s="113"/>
    </row>
    <row r="7" spans="1:37" ht="14.25" customHeight="1" x14ac:dyDescent="0.2">
      <c r="A7" s="510" t="s">
        <v>137</v>
      </c>
      <c r="B7" s="511" t="s">
        <v>179</v>
      </c>
      <c r="C7" s="512">
        <f>NPV(C5,'Ekonomiskā analīze'!C21:AG21)</f>
        <v>2363533.6884279647</v>
      </c>
      <c r="D7" s="512">
        <f>NPV(D5,'Ekonomiskā analīze'!C21:AG21)</f>
        <v>1492274.2460896415</v>
      </c>
      <c r="E7" s="512">
        <f>NPV(E5,'Ekonomiskā analīze'!C21:AG21)</f>
        <v>1149580.547026606</v>
      </c>
      <c r="F7" s="512">
        <f>NPV(F5,'Ekonomiskā analīze'!C21:AG21)</f>
        <v>394728.25508827966</v>
      </c>
    </row>
    <row r="8" spans="1:37" ht="14.25" customHeight="1" x14ac:dyDescent="0.2">
      <c r="A8" s="510" t="s">
        <v>140</v>
      </c>
      <c r="B8" s="511" t="s">
        <v>181</v>
      </c>
      <c r="C8" s="636">
        <f>IRR('Ekonomiskā analīze'!C21:AG21,0)</f>
        <v>0.14327508188100735</v>
      </c>
      <c r="D8" s="636"/>
      <c r="E8" s="636"/>
      <c r="F8" s="636"/>
    </row>
    <row r="9" spans="1:37" ht="14.25" customHeight="1" x14ac:dyDescent="0.2">
      <c r="A9" s="506"/>
      <c r="B9" s="506"/>
      <c r="C9" s="506"/>
      <c r="D9" s="506"/>
      <c r="E9" s="506"/>
      <c r="F9" s="506"/>
    </row>
    <row r="10" spans="1:37" s="315" customFormat="1" ht="28.5" customHeight="1" x14ac:dyDescent="0.2">
      <c r="A10" s="513"/>
      <c r="B10" s="514" t="s">
        <v>184</v>
      </c>
      <c r="C10" s="514">
        <f>Aprēķini!B6</f>
        <v>2017</v>
      </c>
      <c r="D10" s="514">
        <f>Aprēķini!C6</f>
        <v>2018</v>
      </c>
      <c r="E10" s="514">
        <f>Aprēķini!D6</f>
        <v>2019</v>
      </c>
      <c r="F10" s="514">
        <f>Aprēķini!E6</f>
        <v>2020</v>
      </c>
      <c r="G10" s="514">
        <f>Aprēķini!F6</f>
        <v>2021</v>
      </c>
      <c r="H10" s="514">
        <f>Aprēķini!G6</f>
        <v>2022</v>
      </c>
      <c r="I10" s="514">
        <f>Aprēķini!H6</f>
        <v>2023</v>
      </c>
      <c r="J10" s="514">
        <f>Aprēķini!I6</f>
        <v>2024</v>
      </c>
      <c r="K10" s="514">
        <f>Aprēķini!J6</f>
        <v>2025</v>
      </c>
      <c r="L10" s="514">
        <f>Aprēķini!K6</f>
        <v>2026</v>
      </c>
      <c r="M10" s="514">
        <f>Aprēķini!L6</f>
        <v>2027</v>
      </c>
      <c r="N10" s="514">
        <f>Aprēķini!M6</f>
        <v>2028</v>
      </c>
      <c r="O10" s="514">
        <f>Aprēķini!N6</f>
        <v>2029</v>
      </c>
      <c r="P10" s="514">
        <f>Aprēķini!O6</f>
        <v>2030</v>
      </c>
      <c r="Q10" s="514">
        <f>Aprēķini!P6</f>
        <v>2031</v>
      </c>
      <c r="R10" s="514">
        <f>Aprēķini!Q6</f>
        <v>2032</v>
      </c>
      <c r="S10" s="514">
        <f>Aprēķini!R6</f>
        <v>2033</v>
      </c>
      <c r="T10" s="514">
        <f>Aprēķini!S6</f>
        <v>2034</v>
      </c>
      <c r="U10" s="514">
        <f>Aprēķini!T6</f>
        <v>2035</v>
      </c>
      <c r="V10" s="514">
        <f>Aprēķini!U6</f>
        <v>2036</v>
      </c>
      <c r="W10" s="514">
        <f>Aprēķini!V6</f>
        <v>2037</v>
      </c>
      <c r="X10" s="514">
        <f>Aprēķini!W6</f>
        <v>2038</v>
      </c>
      <c r="Y10" s="514">
        <f>Aprēķini!X6</f>
        <v>2039</v>
      </c>
      <c r="Z10" s="514">
        <f>Aprēķini!Y6</f>
        <v>2040</v>
      </c>
      <c r="AA10" s="514">
        <f>Aprēķini!Z6</f>
        <v>2041</v>
      </c>
      <c r="AB10" s="514">
        <f>Aprēķini!AA6</f>
        <v>2042</v>
      </c>
      <c r="AC10" s="514">
        <f>Aprēķini!AB6</f>
        <v>2043</v>
      </c>
      <c r="AD10" s="514">
        <f>Aprēķini!AC6</f>
        <v>2044</v>
      </c>
      <c r="AE10" s="514">
        <f>Aprēķini!AD6</f>
        <v>2045</v>
      </c>
      <c r="AF10" s="514">
        <f>Aprēķini!AE6</f>
        <v>2046</v>
      </c>
      <c r="AG10" s="514">
        <f>Aprēķini!AF6</f>
        <v>2047</v>
      </c>
      <c r="AH10" s="514">
        <f>Aprēķini!AG6</f>
        <v>2048</v>
      </c>
      <c r="AI10" s="514">
        <f>Aprēķini!AH6</f>
        <v>2049</v>
      </c>
    </row>
    <row r="11" spans="1:37" ht="12.75" x14ac:dyDescent="0.2">
      <c r="A11" s="641" t="s">
        <v>142</v>
      </c>
      <c r="B11" s="657"/>
      <c r="C11" s="657"/>
      <c r="D11" s="657"/>
      <c r="E11" s="657"/>
      <c r="F11" s="657"/>
      <c r="G11" s="657"/>
      <c r="H11" s="657"/>
      <c r="I11" s="657"/>
      <c r="J11" s="657"/>
      <c r="K11" s="657"/>
      <c r="L11" s="657"/>
      <c r="M11" s="657"/>
      <c r="N11" s="657"/>
      <c r="O11" s="657"/>
      <c r="P11" s="657"/>
      <c r="Q11" s="657"/>
      <c r="R11" s="657"/>
      <c r="S11" s="657"/>
      <c r="T11" s="657"/>
      <c r="U11" s="657"/>
      <c r="V11" s="657"/>
      <c r="W11" s="657"/>
      <c r="X11" s="657"/>
      <c r="Y11" s="657"/>
      <c r="Z11" s="657"/>
      <c r="AA11" s="657"/>
      <c r="AB11" s="657"/>
      <c r="AC11" s="657"/>
      <c r="AD11" s="657"/>
      <c r="AE11" s="657"/>
      <c r="AF11" s="657"/>
      <c r="AG11" s="657"/>
      <c r="AH11" s="657"/>
      <c r="AI11" s="657"/>
    </row>
    <row r="12" spans="1:37" ht="12.75" x14ac:dyDescent="0.2">
      <c r="A12" s="793"/>
      <c r="B12" s="115">
        <v>0.1</v>
      </c>
      <c r="C12" s="515">
        <f>'Ekonomiskā analīze'!B$21+'Ekonomiskā analīze'!B$10*'Jutīguma analīze_EA'!$B12</f>
        <v>-591813.79999999993</v>
      </c>
      <c r="D12" s="515">
        <f>'Ekonomiskā analīze'!C$21+'Ekonomiskā analīze'!C$10*'Jutīguma analīze_EA'!$B12</f>
        <v>-324350.46999999997</v>
      </c>
      <c r="E12" s="515">
        <f>'Ekonomiskā analīze'!D$21+'Ekonomiskā analīze'!D$10*'Jutīguma analīze_EA'!$B12</f>
        <v>-497495</v>
      </c>
      <c r="F12" s="515">
        <f>'Ekonomiskā analīze'!E$21+'Ekonomiskā analīze'!E$10*'Jutīguma analīze_EA'!$B12</f>
        <v>30912.288079551105</v>
      </c>
      <c r="G12" s="515">
        <f>'Ekonomiskā analīze'!F$21+'Ekonomiskā analīze'!F$10*'Jutīguma analīze_EA'!$B12</f>
        <v>53013.671657244493</v>
      </c>
      <c r="H12" s="515">
        <f>'Ekonomiskā analīze'!G$21+'Ekonomiskā analīze'!G$10*'Jutīguma analīze_EA'!$B12</f>
        <v>91555.625671684407</v>
      </c>
      <c r="I12" s="515">
        <f>'Ekonomiskā analīze'!H$21+'Ekonomiskā analīze'!H$10*'Jutīguma analīze_EA'!$B12</f>
        <v>125290.81680048371</v>
      </c>
      <c r="J12" s="515">
        <f>'Ekonomiskā analīze'!I$21+'Ekonomiskā analīze'!I$10*'Jutīguma analīze_EA'!$B12</f>
        <v>164524.44417207054</v>
      </c>
      <c r="K12" s="515">
        <f>'Ekonomiskā analīze'!J$21+'Ekonomiskā analīze'!J$10*'Jutīguma analīze_EA'!$B12</f>
        <v>171224.94795694645</v>
      </c>
      <c r="L12" s="515">
        <f>'Ekonomiskā analīze'!K$21+'Ekonomiskā analīze'!K$10*'Jutīguma analīze_EA'!$B12</f>
        <v>174108.50428928033</v>
      </c>
      <c r="M12" s="515">
        <f>'Ekonomiskā analīze'!L$21+'Ekonomiskā analīze'!L$10*'Jutīguma analīze_EA'!$B12</f>
        <v>174348.63113242059</v>
      </c>
      <c r="N12" s="515">
        <f>'Ekonomiskā analīze'!M$21+'Ekonomiskā analīze'!M$10*'Jutīguma analīze_EA'!$B12</f>
        <v>174924.22376335811</v>
      </c>
      <c r="O12" s="515">
        <f>'Ekonomiskā analīze'!N$21+'Ekonomiskā analīze'!N$10*'Jutīguma analīze_EA'!$B12</f>
        <v>174969.20731451848</v>
      </c>
      <c r="P12" s="515">
        <f>'Ekonomiskā analīze'!O$21+'Ekonomiskā analīze'!O$10*'Jutīguma analīze_EA'!$B12</f>
        <v>173701.98494718818</v>
      </c>
      <c r="Q12" s="515">
        <f>'Ekonomiskā analīze'!P$21+'Ekonomiskā analīze'!P$10*'Jutīguma analīze_EA'!$B12</f>
        <v>177495.65430348777</v>
      </c>
      <c r="R12" s="515">
        <f>'Ekonomiskā analīze'!Q$21+'Ekonomiskā analīze'!Q$10*'Jutīguma analīze_EA'!$B12</f>
        <v>183950.27679376485</v>
      </c>
      <c r="S12" s="515">
        <f>'Ekonomiskā analīze'!R$21+'Ekonomiskā analīze'!R$10*'Jutīguma analīze_EA'!$B12</f>
        <v>212033.28598214767</v>
      </c>
      <c r="T12" s="515">
        <f>'Ekonomiskā analīze'!S$21+'Ekonomiskā analīze'!S$10*'Jutīguma analīze_EA'!$B12</f>
        <v>220949.21335162109</v>
      </c>
      <c r="U12" s="515">
        <f>'Ekonomiskā analīze'!T$21+'Ekonomiskā analīze'!T$10*'Jutīguma analīze_EA'!$B12</f>
        <v>220523.03043040435</v>
      </c>
      <c r="V12" s="515">
        <f>'Ekonomiskā analīze'!U$21+'Ekonomiskā analīze'!U$10*'Jutīguma analīze_EA'!$B12</f>
        <v>225109.84741470462</v>
      </c>
      <c r="W12" s="515">
        <f>'Ekonomiskā analīze'!V$21+'Ekonomiskā analīze'!V$10*'Jutīguma analīze_EA'!$B12</f>
        <v>236730.44642721524</v>
      </c>
      <c r="X12" s="515">
        <f>'Ekonomiskā analīze'!W$21+'Ekonomiskā analīze'!W$10*'Jutīguma analīze_EA'!$B12</f>
        <v>241281.79762371772</v>
      </c>
      <c r="Y12" s="515">
        <f>'Ekonomiskā analīze'!X$21+'Ekonomiskā analīze'!X$10*'Jutīguma analīze_EA'!$B12</f>
        <v>248595.00985146873</v>
      </c>
      <c r="Z12" s="515">
        <f>'Ekonomiskā analīze'!Y$21+'Ekonomiskā analīze'!Y$10*'Jutīguma analīze_EA'!$B12</f>
        <v>253146.36104797173</v>
      </c>
      <c r="AA12" s="515">
        <f>'Ekonomiskā analīze'!Z$21+'Ekonomiskā analīze'!Z$10*'Jutīguma analīze_EA'!$B12</f>
        <v>257337.90192772649</v>
      </c>
      <c r="AB12" s="515">
        <f>'Ekonomiskā analīze'!AA$21+'Ekonomiskā analīze'!AA$10*'Jutīguma analīze_EA'!$B12</f>
        <v>262236.10549622827</v>
      </c>
      <c r="AC12" s="515">
        <f>'Ekonomiskā analīze'!AB$21+'Ekonomiskā analīze'!AB$10*'Jutīguma analīze_EA'!$B12</f>
        <v>264477.92163078836</v>
      </c>
      <c r="AD12" s="515">
        <f>'Ekonomiskā analīze'!AC$21+'Ekonomiskā analīze'!AC$10*'Jutīguma analīze_EA'!$B12</f>
        <v>235100.61850260192</v>
      </c>
      <c r="AE12" s="515">
        <f>'Ekonomiskā analīze'!AD$21+'Ekonomiskā analīze'!AD$10*'Jutīguma analīze_EA'!$B12</f>
        <v>170543.36520567484</v>
      </c>
      <c r="AF12" s="515">
        <f>'Ekonomiskā analīze'!AE$21+'Ekonomiskā analīze'!AE$10*'Jutīguma analīze_EA'!$B12</f>
        <v>172102.70777298103</v>
      </c>
      <c r="AG12" s="515">
        <f>'Ekonomiskā analīze'!AF$21+'Ekonomiskā analīze'!AF$10*'Jutīguma analīze_EA'!$B12</f>
        <v>166102.35137346169</v>
      </c>
      <c r="AH12" s="515">
        <f>'Ekonomiskā analīze'!AG$21+'Ekonomiskā analīze'!AG$10*'Jutīguma analīze_EA'!$B12</f>
        <v>718109.02115412848</v>
      </c>
      <c r="AI12" s="515">
        <f>'Ekonomiskā analīze'!AH$21+'Ekonomiskā analīze'!AH$10*'Jutīguma analīze_EA'!$B12</f>
        <v>172837.69093479533</v>
      </c>
      <c r="AJ12" s="508"/>
      <c r="AK12" s="508"/>
    </row>
    <row r="13" spans="1:37" ht="12.75" x14ac:dyDescent="0.2">
      <c r="A13" s="794"/>
      <c r="B13" s="115">
        <v>7.4999999999999997E-2</v>
      </c>
      <c r="C13" s="515">
        <f>'Ekonomiskā analīze'!B$21+'Ekonomiskā analīze'!B$10*'Jutīguma analīze_EA'!$B13</f>
        <v>-591813.79999999993</v>
      </c>
      <c r="D13" s="515">
        <f>'Ekonomiskā analīze'!C$21+'Ekonomiskā analīze'!C$10*'Jutīguma analīze_EA'!$B13</f>
        <v>-325662.96999999997</v>
      </c>
      <c r="E13" s="515">
        <f>'Ekonomiskā analīze'!D$21+'Ekonomiskā analīze'!D$10*'Jutīguma analīze_EA'!$B13</f>
        <v>-498807.5</v>
      </c>
      <c r="F13" s="515">
        <f>'Ekonomiskā analīze'!E$21+'Ekonomiskā analīze'!E$10*'Jutīguma analīze_EA'!$B13</f>
        <v>30613.43301003021</v>
      </c>
      <c r="G13" s="515">
        <f>'Ekonomiskā analīze'!F$21+'Ekonomiskā analīze'!F$10*'Jutīguma analīze_EA'!$B13</f>
        <v>52191.144282965979</v>
      </c>
      <c r="H13" s="515">
        <f>'Ekonomiskā analīze'!G$21+'Ekonomiskā analīze'!G$10*'Jutīguma analīze_EA'!$B13</f>
        <v>89848.403261411557</v>
      </c>
      <c r="I13" s="515">
        <f>'Ekonomiskā analīze'!H$21+'Ekonomiskā analīze'!H$10*'Jutīguma analīze_EA'!$B13</f>
        <v>122813.88496374659</v>
      </c>
      <c r="J13" s="515">
        <f>'Ekonomiskā analīze'!I$21+'Ekonomiskā analīze'!I$10*'Jutīguma analīze_EA'!$B13</f>
        <v>161145.37715727373</v>
      </c>
      <c r="K13" s="515">
        <f>'Ekonomiskā analīze'!J$21+'Ekonomiskā analīze'!J$10*'Jutīguma analīze_EA'!$B13</f>
        <v>167785.73729008541</v>
      </c>
      <c r="L13" s="515">
        <f>'Ekonomiskā analīze'!K$21+'Ekonomiskā analīze'!K$10*'Jutīguma analīze_EA'!$B13</f>
        <v>170609.14997035504</v>
      </c>
      <c r="M13" s="515">
        <f>'Ekonomiskā analīze'!L$21+'Ekonomiskā analīze'!L$10*'Jutīguma analīze_EA'!$B13</f>
        <v>170788.09801741265</v>
      </c>
      <c r="N13" s="515">
        <f>'Ekonomiskā analīze'!M$21+'Ekonomiskā analīze'!M$10*'Jutīguma analīze_EA'!$B13</f>
        <v>171302.77063827214</v>
      </c>
      <c r="O13" s="515">
        <f>'Ekonomiskā analīze'!N$21+'Ekonomiskā analīze'!N$10*'Jutīguma analīze_EA'!$B13</f>
        <v>171290.97475542792</v>
      </c>
      <c r="P13" s="515">
        <f>'Ekonomiskā analīze'!O$21+'Ekonomiskā analīze'!O$10*'Jutīguma analīze_EA'!$B13</f>
        <v>169938.45384408845</v>
      </c>
      <c r="Q13" s="515">
        <f>'Ekonomiskā analīze'!P$21+'Ekonomiskā analīze'!P$10*'Jutīguma analīze_EA'!$B13</f>
        <v>173642.16650829621</v>
      </c>
      <c r="R13" s="515">
        <f>'Ekonomiskā analīze'!Q$21+'Ekonomiskā analīze'!Q$10*'Jutīguma analīze_EA'!$B13</f>
        <v>180009.42016652739</v>
      </c>
      <c r="S13" s="515">
        <f>'Ekonomiskā analīze'!R$21+'Ekonomiskā analīze'!R$10*'Jutīguma analīze_EA'!$B13</f>
        <v>208011.0126009699</v>
      </c>
      <c r="T13" s="515">
        <f>'Ekonomiskā analīze'!S$21+'Ekonomiskā analīze'!S$10*'Jutīguma analīze_EA'!$B13</f>
        <v>216833.61906029185</v>
      </c>
      <c r="U13" s="515">
        <f>'Ekonomiskā analīze'!T$21+'Ekonomiskā analīze'!T$10*'Jutīguma analīze_EA'!$B13</f>
        <v>216320.58487903836</v>
      </c>
      <c r="V13" s="515">
        <f>'Ekonomiskā analīze'!U$21+'Ekonomiskā analīze'!U$10*'Jutīguma analīze_EA'!$B13</f>
        <v>220817.44517124686</v>
      </c>
      <c r="W13" s="515">
        <f>'Ekonomiskā analīze'!V$21+'Ekonomiskā analīze'!V$10*'Jutīguma analīze_EA'!$B13</f>
        <v>232347.82870566106</v>
      </c>
      <c r="X13" s="515">
        <f>'Ekonomiskā analīze'!W$21+'Ekonomiskā analīze'!W$10*'Jutīguma analīze_EA'!$B13</f>
        <v>236808.96442406718</v>
      </c>
      <c r="Y13" s="515">
        <f>'Ekonomiskā analīze'!X$21+'Ekonomiskā analīze'!X$10*'Jutīguma analīze_EA'!$B13</f>
        <v>244032.21995972635</v>
      </c>
      <c r="Z13" s="515">
        <f>'Ekonomiskā analīze'!Y$21+'Ekonomiskā analīze'!Y$10*'Jutīguma analīze_EA'!$B13</f>
        <v>248493.35567813297</v>
      </c>
      <c r="AA13" s="515">
        <f>'Ekonomiskā analīze'!Z$21+'Ekonomiskā analīze'!Z$10*'Jutīguma analīze_EA'!$B13</f>
        <v>252594.93986579592</v>
      </c>
      <c r="AB13" s="515">
        <f>'Ekonomiskā analīze'!AA$21+'Ekonomiskā analīze'!AA$10*'Jutīguma analīze_EA'!$B13</f>
        <v>257402.92795620128</v>
      </c>
      <c r="AC13" s="515">
        <f>'Ekonomiskā analīze'!AB$21+'Ekonomiskā analīze'!AB$10*'Jutīguma analīze_EA'!$B13</f>
        <v>259553.75225465122</v>
      </c>
      <c r="AD13" s="515">
        <f>'Ekonomiskā analīze'!AC$21+'Ekonomiskā analīze'!AC$10*'Jutīguma analīze_EA'!$B13</f>
        <v>230085.19850435003</v>
      </c>
      <c r="AE13" s="515">
        <f>'Ekonomiskā analīze'!AD$21+'Ekonomiskā analīze'!AD$10*'Jutīguma analīze_EA'!$B13</f>
        <v>165420.1322810144</v>
      </c>
      <c r="AF13" s="515">
        <f>'Ekonomiskā analīze'!AE$21+'Ekonomiskā analīze'!AE$10*'Jutīguma analīze_EA'!$B13</f>
        <v>166859.96390220587</v>
      </c>
      <c r="AG13" s="515">
        <f>'Ekonomiskā analīze'!AF$21+'Ekonomiskā analīze'!AF$10*'Jutīguma analīze_EA'!$B13</f>
        <v>160746.30742068193</v>
      </c>
      <c r="AH13" s="515">
        <f>'Ekonomiskā analīze'!AG$21+'Ekonomiskā analīze'!AG$10*'Jutīguma analīze_EA'!$B13</f>
        <v>712632.68989722023</v>
      </c>
      <c r="AI13" s="515">
        <f>'Ekonomiskā analīze'!AH$21+'Ekonomiskā analīze'!AH$10*'Jutīguma analīze_EA'!$B13</f>
        <v>167241.07237375851</v>
      </c>
    </row>
    <row r="14" spans="1:37" ht="12.75" x14ac:dyDescent="0.2">
      <c r="A14" s="794"/>
      <c r="B14" s="115">
        <v>0.05</v>
      </c>
      <c r="C14" s="515">
        <f>'Ekonomiskā analīze'!B$21+'Ekonomiskā analīze'!B$10*'Jutīguma analīze_EA'!$B14</f>
        <v>-591813.79999999993</v>
      </c>
      <c r="D14" s="515">
        <f>'Ekonomiskā analīze'!C$21+'Ekonomiskā analīze'!C$10*'Jutīguma analīze_EA'!$B14</f>
        <v>-326975.46999999997</v>
      </c>
      <c r="E14" s="515">
        <f>'Ekonomiskā analīze'!D$21+'Ekonomiskā analīze'!D$10*'Jutīguma analīze_EA'!$B14</f>
        <v>-500120</v>
      </c>
      <c r="F14" s="515">
        <f>'Ekonomiskā analīze'!E$21+'Ekonomiskā analīze'!E$10*'Jutīguma analīze_EA'!$B14</f>
        <v>30314.577940509313</v>
      </c>
      <c r="G14" s="515">
        <f>'Ekonomiskā analīze'!F$21+'Ekonomiskā analīze'!F$10*'Jutīguma analīze_EA'!$B14</f>
        <v>51368.616908687472</v>
      </c>
      <c r="H14" s="515">
        <f>'Ekonomiskā analīze'!G$21+'Ekonomiskā analīze'!G$10*'Jutīguma analīze_EA'!$B14</f>
        <v>88141.180851138706</v>
      </c>
      <c r="I14" s="515">
        <f>'Ekonomiskā analīze'!H$21+'Ekonomiskā analīze'!H$10*'Jutīguma analīze_EA'!$B14</f>
        <v>120336.95312700949</v>
      </c>
      <c r="J14" s="515">
        <f>'Ekonomiskā analīze'!I$21+'Ekonomiskā analīze'!I$10*'Jutīguma analīze_EA'!$B14</f>
        <v>157766.31014247696</v>
      </c>
      <c r="K14" s="515">
        <f>'Ekonomiskā analīze'!J$21+'Ekonomiskā analīze'!J$10*'Jutīguma analīze_EA'!$B14</f>
        <v>164346.52662322434</v>
      </c>
      <c r="L14" s="515">
        <f>'Ekonomiskā analīze'!K$21+'Ekonomiskā analīze'!K$10*'Jutīguma analīze_EA'!$B14</f>
        <v>167109.79565142971</v>
      </c>
      <c r="M14" s="515">
        <f>'Ekonomiskā analīze'!L$21+'Ekonomiskā analīze'!L$10*'Jutīguma analīze_EA'!$B14</f>
        <v>167227.56490240473</v>
      </c>
      <c r="N14" s="515">
        <f>'Ekonomiskā analīze'!M$21+'Ekonomiskā analīze'!M$10*'Jutīguma analīze_EA'!$B14</f>
        <v>167681.31751318616</v>
      </c>
      <c r="O14" s="515">
        <f>'Ekonomiskā analīze'!N$21+'Ekonomiskā analīze'!N$10*'Jutīguma analīze_EA'!$B14</f>
        <v>167612.74219633738</v>
      </c>
      <c r="P14" s="515">
        <f>'Ekonomiskā analīze'!O$21+'Ekonomiskā analīze'!O$10*'Jutīguma analīze_EA'!$B14</f>
        <v>166174.9227409887</v>
      </c>
      <c r="Q14" s="515">
        <f>'Ekonomiskā analīze'!P$21+'Ekonomiskā analīze'!P$10*'Jutīguma analīze_EA'!$B14</f>
        <v>169788.67871310466</v>
      </c>
      <c r="R14" s="515">
        <f>'Ekonomiskā analīze'!Q$21+'Ekonomiskā analīze'!Q$10*'Jutīguma analīze_EA'!$B14</f>
        <v>176068.56353928993</v>
      </c>
      <c r="S14" s="515">
        <f>'Ekonomiskā analīze'!R$21+'Ekonomiskā analīze'!R$10*'Jutīguma analīze_EA'!$B14</f>
        <v>203988.73921979213</v>
      </c>
      <c r="T14" s="515">
        <f>'Ekonomiskā analīze'!S$21+'Ekonomiskā analīze'!S$10*'Jutīguma analīze_EA'!$B14</f>
        <v>212718.02476896258</v>
      </c>
      <c r="U14" s="515">
        <f>'Ekonomiskā analīze'!T$21+'Ekonomiskā analīze'!T$10*'Jutīguma analīze_EA'!$B14</f>
        <v>212118.1393276724</v>
      </c>
      <c r="V14" s="515">
        <f>'Ekonomiskā analīze'!U$21+'Ekonomiskā analīze'!U$10*'Jutīguma analīze_EA'!$B14</f>
        <v>216525.04292778907</v>
      </c>
      <c r="W14" s="515">
        <f>'Ekonomiskā analīze'!V$21+'Ekonomiskā analīze'!V$10*'Jutīguma analīze_EA'!$B14</f>
        <v>227965.21098410687</v>
      </c>
      <c r="X14" s="515">
        <f>'Ekonomiskā analīze'!W$21+'Ekonomiskā analīze'!W$10*'Jutīguma analīze_EA'!$B14</f>
        <v>232336.1312244166</v>
      </c>
      <c r="Y14" s="515">
        <f>'Ekonomiskā analīze'!X$21+'Ekonomiskā analīze'!X$10*'Jutīguma analīze_EA'!$B14</f>
        <v>239469.43006798398</v>
      </c>
      <c r="Z14" s="515">
        <f>'Ekonomiskā analīze'!Y$21+'Ekonomiskā analīze'!Y$10*'Jutīguma analīze_EA'!$B14</f>
        <v>243840.35030829418</v>
      </c>
      <c r="AA14" s="515">
        <f>'Ekonomiskā analīze'!Z$21+'Ekonomiskā analīze'!Z$10*'Jutīguma analīze_EA'!$B14</f>
        <v>247851.97780386536</v>
      </c>
      <c r="AB14" s="515">
        <f>'Ekonomiskā analīze'!AA$21+'Ekonomiskā analīze'!AA$10*'Jutīguma analīze_EA'!$B14</f>
        <v>252569.75041617433</v>
      </c>
      <c r="AC14" s="515">
        <f>'Ekonomiskā analīze'!AB$21+'Ekonomiskā analīze'!AB$10*'Jutīguma analīze_EA'!$B14</f>
        <v>254629.58287851408</v>
      </c>
      <c r="AD14" s="515">
        <f>'Ekonomiskā analīze'!AC$21+'Ekonomiskā analīze'!AC$10*'Jutīguma analīze_EA'!$B14</f>
        <v>225069.77850609814</v>
      </c>
      <c r="AE14" s="515">
        <f>'Ekonomiskā analīze'!AD$21+'Ekonomiskā analīze'!AD$10*'Jutīguma analīze_EA'!$B14</f>
        <v>160296.899356354</v>
      </c>
      <c r="AF14" s="515">
        <f>'Ekonomiskā analīze'!AE$21+'Ekonomiskā analīze'!AE$10*'Jutīguma analīze_EA'!$B14</f>
        <v>161617.22003143068</v>
      </c>
      <c r="AG14" s="515">
        <f>'Ekonomiskā analīze'!AF$21+'Ekonomiskā analīze'!AF$10*'Jutīguma analīze_EA'!$B14</f>
        <v>155390.26346790217</v>
      </c>
      <c r="AH14" s="515">
        <f>'Ekonomiskā analīze'!AG$21+'Ekonomiskā analīze'!AG$10*'Jutīguma analīze_EA'!$B14</f>
        <v>707156.35864031198</v>
      </c>
      <c r="AI14" s="515">
        <f>'Ekonomiskā analīze'!AH$21+'Ekonomiskā analīze'!AH$10*'Jutīguma analīze_EA'!$B14</f>
        <v>161644.45381272168</v>
      </c>
    </row>
    <row r="15" spans="1:37" ht="12.75" x14ac:dyDescent="0.2">
      <c r="A15" s="794"/>
      <c r="B15" s="115">
        <v>2.5000000000000001E-2</v>
      </c>
      <c r="C15" s="515">
        <f>'Ekonomiskā analīze'!B$21+'Ekonomiskā analīze'!B$10*'Jutīguma analīze_EA'!$B15</f>
        <v>-591813.79999999993</v>
      </c>
      <c r="D15" s="515">
        <f>'Ekonomiskā analīze'!C$21+'Ekonomiskā analīze'!C$10*'Jutīguma analīze_EA'!$B15</f>
        <v>-328287.96999999997</v>
      </c>
      <c r="E15" s="515">
        <f>'Ekonomiskā analīze'!D$21+'Ekonomiskā analīze'!D$10*'Jutīguma analīze_EA'!$B15</f>
        <v>-501432.5</v>
      </c>
      <c r="F15" s="515">
        <f>'Ekonomiskā analīze'!E$21+'Ekonomiskā analīze'!E$10*'Jutīguma analīze_EA'!$B15</f>
        <v>30015.722870988418</v>
      </c>
      <c r="G15" s="515">
        <f>'Ekonomiskā analīze'!F$21+'Ekonomiskā analīze'!F$10*'Jutīguma analīze_EA'!$B15</f>
        <v>50546.089534408959</v>
      </c>
      <c r="H15" s="515">
        <f>'Ekonomiskā analīze'!G$21+'Ekonomiskā analīze'!G$10*'Jutīguma analīze_EA'!$B15</f>
        <v>86433.958440865856</v>
      </c>
      <c r="I15" s="515">
        <f>'Ekonomiskā analīze'!H$21+'Ekonomiskā analīze'!H$10*'Jutīguma analīze_EA'!$B15</f>
        <v>117860.02129027237</v>
      </c>
      <c r="J15" s="515">
        <f>'Ekonomiskā analīze'!I$21+'Ekonomiskā analīze'!I$10*'Jutīguma analīze_EA'!$B15</f>
        <v>154387.24312768015</v>
      </c>
      <c r="K15" s="515">
        <f>'Ekonomiskā analīze'!J$21+'Ekonomiskā analīze'!J$10*'Jutīguma analīze_EA'!$B15</f>
        <v>160907.31595636328</v>
      </c>
      <c r="L15" s="515">
        <f>'Ekonomiskā analīze'!K$21+'Ekonomiskā analīze'!K$10*'Jutīguma analīze_EA'!$B15</f>
        <v>163610.44133250442</v>
      </c>
      <c r="M15" s="515">
        <f>'Ekonomiskā analīze'!L$21+'Ekonomiskā analīze'!L$10*'Jutīguma analīze_EA'!$B15</f>
        <v>163667.03178739679</v>
      </c>
      <c r="N15" s="515">
        <f>'Ekonomiskā analīze'!M$21+'Ekonomiskā analīze'!M$10*'Jutīguma analīze_EA'!$B15</f>
        <v>164059.86438810019</v>
      </c>
      <c r="O15" s="515">
        <f>'Ekonomiskā analīze'!N$21+'Ekonomiskā analīze'!N$10*'Jutīguma analīze_EA'!$B15</f>
        <v>163934.50963724681</v>
      </c>
      <c r="P15" s="515">
        <f>'Ekonomiskā analīze'!O$21+'Ekonomiskā analīze'!O$10*'Jutīguma analīze_EA'!$B15</f>
        <v>162411.39163788897</v>
      </c>
      <c r="Q15" s="515">
        <f>'Ekonomiskā analīze'!P$21+'Ekonomiskā analīze'!P$10*'Jutīguma analīze_EA'!$B15</f>
        <v>165935.19091791313</v>
      </c>
      <c r="R15" s="515">
        <f>'Ekonomiskā analīze'!Q$21+'Ekonomiskā analīze'!Q$10*'Jutīguma analīze_EA'!$B15</f>
        <v>172127.7069120525</v>
      </c>
      <c r="S15" s="515">
        <f>'Ekonomiskā analīze'!R$21+'Ekonomiskā analīze'!R$10*'Jutīguma analīze_EA'!$B15</f>
        <v>199966.46583861436</v>
      </c>
      <c r="T15" s="515">
        <f>'Ekonomiskā analīze'!S$21+'Ekonomiskā analīze'!S$10*'Jutīguma analīze_EA'!$B15</f>
        <v>208602.43047763334</v>
      </c>
      <c r="U15" s="515">
        <f>'Ekonomiskā analīze'!T$21+'Ekonomiskā analīze'!T$10*'Jutīguma analīze_EA'!$B15</f>
        <v>207915.69377630641</v>
      </c>
      <c r="V15" s="515">
        <f>'Ekonomiskā analīze'!U$21+'Ekonomiskā analīze'!U$10*'Jutīguma analīze_EA'!$B15</f>
        <v>212232.6406843313</v>
      </c>
      <c r="W15" s="515">
        <f>'Ekonomiskā analīze'!V$21+'Ekonomiskā analīze'!V$10*'Jutīguma analīze_EA'!$B15</f>
        <v>223582.59326255272</v>
      </c>
      <c r="X15" s="515">
        <f>'Ekonomiskā analīze'!W$21+'Ekonomiskā analīze'!W$10*'Jutīguma analīze_EA'!$B15</f>
        <v>227863.29802476603</v>
      </c>
      <c r="Y15" s="515">
        <f>'Ekonomiskā analīze'!X$21+'Ekonomiskā analīze'!X$10*'Jutīguma analīze_EA'!$B15</f>
        <v>234906.64017624161</v>
      </c>
      <c r="Z15" s="515">
        <f>'Ekonomiskā analīze'!Y$21+'Ekonomiskā analīze'!Y$10*'Jutīguma analīze_EA'!$B15</f>
        <v>239187.34493845541</v>
      </c>
      <c r="AA15" s="515">
        <f>'Ekonomiskā analīze'!Z$21+'Ekonomiskā analīze'!Z$10*'Jutīguma analīze_EA'!$B15</f>
        <v>243109.01574193477</v>
      </c>
      <c r="AB15" s="515">
        <f>'Ekonomiskā analīze'!AA$21+'Ekonomiskā analīze'!AA$10*'Jutīguma analīze_EA'!$B15</f>
        <v>247736.57287614734</v>
      </c>
      <c r="AC15" s="515">
        <f>'Ekonomiskā analīze'!AB$21+'Ekonomiskā analīze'!AB$10*'Jutīguma analīze_EA'!$B15</f>
        <v>249705.41350237696</v>
      </c>
      <c r="AD15" s="515">
        <f>'Ekonomiskā analīze'!AC$21+'Ekonomiskā analīze'!AC$10*'Jutīguma analīze_EA'!$B15</f>
        <v>220054.35850784625</v>
      </c>
      <c r="AE15" s="515">
        <f>'Ekonomiskā analīze'!AD$21+'Ekonomiskā analīze'!AD$10*'Jutīguma analīze_EA'!$B15</f>
        <v>155173.66643169356</v>
      </c>
      <c r="AF15" s="515">
        <f>'Ekonomiskā analīze'!AE$21+'Ekonomiskā analīze'!AE$10*'Jutīguma analīze_EA'!$B15</f>
        <v>156374.47616065553</v>
      </c>
      <c r="AG15" s="515">
        <f>'Ekonomiskā analīze'!AF$21+'Ekonomiskā analīze'!AF$10*'Jutīguma analīze_EA'!$B15</f>
        <v>150034.21951512239</v>
      </c>
      <c r="AH15" s="515">
        <f>'Ekonomiskā analīze'!AG$21+'Ekonomiskā analīze'!AG$10*'Jutīguma analīze_EA'!$B15</f>
        <v>701680.02738340362</v>
      </c>
      <c r="AI15" s="515">
        <f>'Ekonomiskā analīze'!AH$21+'Ekonomiskā analīze'!AH$10*'Jutīguma analīze_EA'!$B15</f>
        <v>156047.83525168488</v>
      </c>
    </row>
    <row r="16" spans="1:37" ht="12.75" x14ac:dyDescent="0.2">
      <c r="A16" s="794"/>
      <c r="B16" s="115">
        <v>0.01</v>
      </c>
      <c r="C16" s="515">
        <f>'Ekonomiskā analīze'!B$21+'Ekonomiskā analīze'!B$10*'Jutīguma analīze_EA'!$B16</f>
        <v>-591813.79999999993</v>
      </c>
      <c r="D16" s="515">
        <f>'Ekonomiskā analīze'!C$21+'Ekonomiskā analīze'!C$10*'Jutīguma analīze_EA'!$B16</f>
        <v>-329075.46999999997</v>
      </c>
      <c r="E16" s="515">
        <f>'Ekonomiskā analīze'!D$21+'Ekonomiskā analīze'!D$10*'Jutīguma analīze_EA'!$B16</f>
        <v>-502220</v>
      </c>
      <c r="F16" s="515">
        <f>'Ekonomiskā analīze'!E$21+'Ekonomiskā analīze'!E$10*'Jutīguma analīze_EA'!$B16</f>
        <v>29836.409829275883</v>
      </c>
      <c r="G16" s="515">
        <f>'Ekonomiskā analīze'!F$21+'Ekonomiskā analīze'!F$10*'Jutīguma analīze_EA'!$B16</f>
        <v>50052.573109841847</v>
      </c>
      <c r="H16" s="515">
        <f>'Ekonomiskā analīze'!G$21+'Ekonomiskā analīze'!G$10*'Jutīguma analīze_EA'!$B16</f>
        <v>85409.624994702142</v>
      </c>
      <c r="I16" s="515">
        <f>'Ekonomiskā analīze'!H$21+'Ekonomiskā analīze'!H$10*'Jutīguma analīze_EA'!$B16</f>
        <v>116373.86218823011</v>
      </c>
      <c r="J16" s="515">
        <f>'Ekonomiskā analīze'!I$21+'Ekonomiskā analīze'!I$10*'Jutīguma analīze_EA'!$B16</f>
        <v>152359.8029188021</v>
      </c>
      <c r="K16" s="515">
        <f>'Ekonomiskā analīze'!J$21+'Ekonomiskā analīze'!J$10*'Jutīguma analīze_EA'!$B16</f>
        <v>158843.78955624666</v>
      </c>
      <c r="L16" s="515">
        <f>'Ekonomiskā analīze'!K$21+'Ekonomiskā analīze'!K$10*'Jutīguma analīze_EA'!$B16</f>
        <v>161510.82874114922</v>
      </c>
      <c r="M16" s="515">
        <f>'Ekonomiskā analīze'!L$21+'Ekonomiskā analīze'!L$10*'Jutīguma analīze_EA'!$B16</f>
        <v>161530.71191839201</v>
      </c>
      <c r="N16" s="515">
        <f>'Ekonomiskā analīze'!M$21+'Ekonomiskā analīze'!M$10*'Jutīguma analīze_EA'!$B16</f>
        <v>161886.99251304861</v>
      </c>
      <c r="O16" s="515">
        <f>'Ekonomiskā analīze'!N$21+'Ekonomiskā analīze'!N$10*'Jutīguma analīze_EA'!$B16</f>
        <v>161727.57010179246</v>
      </c>
      <c r="P16" s="515">
        <f>'Ekonomiskā analīze'!O$21+'Ekonomiskā analīze'!O$10*'Jutīguma analīze_EA'!$B16</f>
        <v>160153.27297602911</v>
      </c>
      <c r="Q16" s="515">
        <f>'Ekonomiskā analīze'!P$21+'Ekonomiskā analīze'!P$10*'Jutīguma analīze_EA'!$B16</f>
        <v>163623.09824079819</v>
      </c>
      <c r="R16" s="515">
        <f>'Ekonomiskā analīze'!Q$21+'Ekonomiskā analīze'!Q$10*'Jutīguma analīze_EA'!$B16</f>
        <v>169763.19293571002</v>
      </c>
      <c r="S16" s="515">
        <f>'Ekonomiskā analīze'!R$21+'Ekonomiskā analīze'!R$10*'Jutīguma analīze_EA'!$B16</f>
        <v>197553.1018099077</v>
      </c>
      <c r="T16" s="515">
        <f>'Ekonomiskā analīze'!S$21+'Ekonomiskā analīze'!S$10*'Jutīguma analīze_EA'!$B16</f>
        <v>206133.07390283578</v>
      </c>
      <c r="U16" s="515">
        <f>'Ekonomiskā analīze'!T$21+'Ekonomiskā analīze'!T$10*'Jutīguma analīze_EA'!$B16</f>
        <v>205394.22644548683</v>
      </c>
      <c r="V16" s="515">
        <f>'Ekonomiskā analīze'!U$21+'Ekonomiskā analīze'!U$10*'Jutīguma analīze_EA'!$B16</f>
        <v>209657.19933825661</v>
      </c>
      <c r="W16" s="515">
        <f>'Ekonomiskā analīze'!V$21+'Ekonomiskā analīze'!V$10*'Jutīguma analīze_EA'!$B16</f>
        <v>220953.02262962022</v>
      </c>
      <c r="X16" s="515">
        <f>'Ekonomiskā analīze'!W$21+'Ekonomiskā analīze'!W$10*'Jutīguma analīze_EA'!$B16</f>
        <v>225179.59810497568</v>
      </c>
      <c r="Y16" s="515">
        <f>'Ekonomiskā analīze'!X$21+'Ekonomiskā analīze'!X$10*'Jutīguma analīze_EA'!$B16</f>
        <v>232168.96624119618</v>
      </c>
      <c r="Z16" s="515">
        <f>'Ekonomiskā analīze'!Y$21+'Ekonomiskā analīze'!Y$10*'Jutīguma analīze_EA'!$B16</f>
        <v>236395.54171655216</v>
      </c>
      <c r="AA16" s="515">
        <f>'Ekonomiskā analīze'!Z$21+'Ekonomiskā analīze'!Z$10*'Jutīguma analīze_EA'!$B16</f>
        <v>240263.23850477644</v>
      </c>
      <c r="AB16" s="515">
        <f>'Ekonomiskā analīze'!AA$21+'Ekonomiskā analīze'!AA$10*'Jutīguma analīze_EA'!$B16</f>
        <v>244836.66635213117</v>
      </c>
      <c r="AC16" s="515">
        <f>'Ekonomiskā analīze'!AB$21+'Ekonomiskā analīze'!AB$10*'Jutīguma analīze_EA'!$B16</f>
        <v>246750.91187669468</v>
      </c>
      <c r="AD16" s="515">
        <f>'Ekonomiskā analīze'!AC$21+'Ekonomiskā analīze'!AC$10*'Jutīguma analīze_EA'!$B16</f>
        <v>217045.10650889511</v>
      </c>
      <c r="AE16" s="515">
        <f>'Ekonomiskā analīze'!AD$21+'Ekonomiskā analīze'!AD$10*'Jutīguma analīze_EA'!$B16</f>
        <v>152099.72667689732</v>
      </c>
      <c r="AF16" s="515">
        <f>'Ekonomiskā analīze'!AE$21+'Ekonomiskā analīze'!AE$10*'Jutīguma analīze_EA'!$B16</f>
        <v>153228.8298381904</v>
      </c>
      <c r="AG16" s="515">
        <f>'Ekonomiskā analīze'!AF$21+'Ekonomiskā analīze'!AF$10*'Jutīguma analīze_EA'!$B16</f>
        <v>146820.59314345455</v>
      </c>
      <c r="AH16" s="515">
        <f>'Ekonomiskā analīze'!AG$21+'Ekonomiskā analīze'!AG$10*'Jutīguma analīze_EA'!$B16</f>
        <v>698394.22862925869</v>
      </c>
      <c r="AI16" s="515">
        <f>'Ekonomiskā analīze'!AH$21+'Ekonomiskā analīze'!AH$10*'Jutīguma analīze_EA'!$B16</f>
        <v>152689.86411506278</v>
      </c>
    </row>
    <row r="17" spans="1:35" s="509" customFormat="1" ht="12.75" x14ac:dyDescent="0.2">
      <c r="A17" s="794"/>
      <c r="B17" s="116">
        <v>0</v>
      </c>
      <c r="C17" s="583">
        <f>'Ekonomiskā analīze'!B$21+'Ekonomiskā analīze'!B$10*'Jutīguma analīze_EA'!$B17</f>
        <v>-591813.79999999993</v>
      </c>
      <c r="D17" s="583">
        <f>'Ekonomiskā analīze'!C$21+'Ekonomiskā analīze'!C$10*'Jutīguma analīze_EA'!$B17</f>
        <v>-329600.46999999997</v>
      </c>
      <c r="E17" s="583">
        <f>'Ekonomiskā analīze'!D$21+'Ekonomiskā analīze'!D$10*'Jutīguma analīze_EA'!$B17</f>
        <v>-502745</v>
      </c>
      <c r="F17" s="583">
        <f>'Ekonomiskā analīze'!E$21+'Ekonomiskā analīze'!E$10*'Jutīguma analīze_EA'!$B17</f>
        <v>29716.867801467524</v>
      </c>
      <c r="G17" s="583">
        <f>'Ekonomiskā analīze'!F$21+'Ekonomiskā analīze'!F$10*'Jutīguma analīze_EA'!$B17</f>
        <v>49723.562160130445</v>
      </c>
      <c r="H17" s="583">
        <f>'Ekonomiskā analīze'!G$21+'Ekonomiskā analīze'!G$10*'Jutīguma analīze_EA'!$B17</f>
        <v>84726.736030593005</v>
      </c>
      <c r="I17" s="583">
        <f>'Ekonomiskā analīze'!H$21+'Ekonomiskā analīze'!H$10*'Jutīguma analīze_EA'!$B17</f>
        <v>115383.08945353526</v>
      </c>
      <c r="J17" s="583">
        <f>'Ekonomiskā analīze'!I$21+'Ekonomiskā analīze'!I$10*'Jutīguma analīze_EA'!$B17</f>
        <v>151008.17611288338</v>
      </c>
      <c r="K17" s="583">
        <f>'Ekonomiskā analīze'!J$21+'Ekonomiskā analīze'!J$10*'Jutīguma analīze_EA'!$B17</f>
        <v>157468.10528950224</v>
      </c>
      <c r="L17" s="583">
        <f>'Ekonomiskā analīze'!K$21+'Ekonomiskā analīze'!K$10*'Jutīguma analīze_EA'!$B17</f>
        <v>160111.08701357909</v>
      </c>
      <c r="M17" s="583">
        <f>'Ekonomiskā analīze'!L$21+'Ekonomiskā analīze'!L$10*'Jutīguma analīze_EA'!$B17</f>
        <v>160106.49867238884</v>
      </c>
      <c r="N17" s="583">
        <f>'Ekonomiskā analīze'!M$21+'Ekonomiskā analīze'!M$10*'Jutīguma analīze_EA'!$B17</f>
        <v>160438.41126301422</v>
      </c>
      <c r="O17" s="583">
        <f>'Ekonomiskā analīze'!N$21+'Ekonomiskā analīze'!N$10*'Jutīguma analīze_EA'!$B17</f>
        <v>160256.27707815624</v>
      </c>
      <c r="P17" s="583">
        <f>'Ekonomiskā analīze'!O$21+'Ekonomiskā analīze'!O$10*'Jutīguma analīze_EA'!$B17</f>
        <v>158647.86053478922</v>
      </c>
      <c r="Q17" s="583">
        <f>'Ekonomiskā analīze'!P$21+'Ekonomiskā analīze'!P$10*'Jutīguma analīze_EA'!$B17</f>
        <v>162081.70312272158</v>
      </c>
      <c r="R17" s="583">
        <f>'Ekonomiskā analīze'!Q$21+'Ekonomiskā analīze'!Q$10*'Jutīguma analīze_EA'!$B17</f>
        <v>168186.85028481504</v>
      </c>
      <c r="S17" s="583">
        <f>'Ekonomiskā analīze'!R$21+'Ekonomiskā analīze'!R$10*'Jutīguma analīze_EA'!$B17</f>
        <v>195944.19245743658</v>
      </c>
      <c r="T17" s="583">
        <f>'Ekonomiskā analīze'!S$21+'Ekonomiskā analīze'!S$10*'Jutīguma analīze_EA'!$B17</f>
        <v>204486.83618630408</v>
      </c>
      <c r="U17" s="583">
        <f>'Ekonomiskā analīze'!T$21+'Ekonomiskā analīze'!T$10*'Jutīguma analīze_EA'!$B17</f>
        <v>203713.24822494044</v>
      </c>
      <c r="V17" s="583">
        <f>'Ekonomiskā analīze'!U$21+'Ekonomiskā analīze'!U$10*'Jutīguma analīze_EA'!$B17</f>
        <v>207940.23844087351</v>
      </c>
      <c r="W17" s="583">
        <f>'Ekonomiskā analīze'!V$21+'Ekonomiskā analīze'!V$10*'Jutīguma analīze_EA'!$B17</f>
        <v>219199.97554099854</v>
      </c>
      <c r="X17" s="583">
        <f>'Ekonomiskā analīze'!W$21+'Ekonomiskā analīze'!W$10*'Jutīguma analīze_EA'!$B17</f>
        <v>223390.46482511546</v>
      </c>
      <c r="Y17" s="583">
        <f>'Ekonomiskā analīze'!X$21+'Ekonomiskā analīze'!X$10*'Jutīguma analīze_EA'!$B17</f>
        <v>230343.85028449923</v>
      </c>
      <c r="Z17" s="583">
        <f>'Ekonomiskā analīze'!Y$21+'Ekonomiskā analīze'!Y$10*'Jutīguma analīze_EA'!$B17</f>
        <v>234534.33956861665</v>
      </c>
      <c r="AA17" s="583">
        <f>'Ekonomiskā analīze'!Z$21+'Ekonomiskā analīze'!Z$10*'Jutīguma analīze_EA'!$B17</f>
        <v>238366.0536800042</v>
      </c>
      <c r="AB17" s="583">
        <f>'Ekonomiskā analīze'!AA$21+'Ekonomiskā analīze'!AA$10*'Jutīguma analīze_EA'!$B17</f>
        <v>242903.39533612039</v>
      </c>
      <c r="AC17" s="583">
        <f>'Ekonomiskā analīze'!AB$21+'Ekonomiskā analīze'!AB$10*'Jutīguma analīze_EA'!$B17</f>
        <v>244781.24412623982</v>
      </c>
      <c r="AD17" s="583">
        <f>'Ekonomiskā analīze'!AC$21+'Ekonomiskā analīze'!AC$10*'Jutīguma analīze_EA'!$B17</f>
        <v>215038.93850959436</v>
      </c>
      <c r="AE17" s="583">
        <f>'Ekonomiskā analīze'!AD$21+'Ekonomiskā analīze'!AD$10*'Jutīguma analīze_EA'!$B17</f>
        <v>150050.43350703316</v>
      </c>
      <c r="AF17" s="583">
        <f>'Ekonomiskā analīze'!AE$21+'Ekonomiskā analīze'!AE$10*'Jutīguma analīze_EA'!$B17</f>
        <v>151131.73228988034</v>
      </c>
      <c r="AG17" s="583">
        <f>'Ekonomiskā analīze'!AF$21+'Ekonomiskā analīze'!AF$10*'Jutīguma analīze_EA'!$B17</f>
        <v>144678.17556234263</v>
      </c>
      <c r="AH17" s="583">
        <f>'Ekonomiskā analīze'!AG$21+'Ekonomiskā analīze'!AG$10*'Jutīguma analīze_EA'!$B17</f>
        <v>696203.69612649537</v>
      </c>
      <c r="AI17" s="583">
        <f>'Ekonomiskā analīze'!AH$21+'Ekonomiskā analīze'!AH$10*'Jutīguma analīze_EA'!$B17</f>
        <v>150451.21669064806</v>
      </c>
    </row>
    <row r="18" spans="1:35" ht="12.75" x14ac:dyDescent="0.2">
      <c r="A18" s="794"/>
      <c r="B18" s="115">
        <v>-0.01</v>
      </c>
      <c r="C18" s="515">
        <f>'Ekonomiskā analīze'!B$21+'Ekonomiskā analīze'!B$10*'Jutīguma analīze_EA'!$B18</f>
        <v>-591813.79999999993</v>
      </c>
      <c r="D18" s="515">
        <f>'Ekonomiskā analīze'!C$21+'Ekonomiskā analīze'!C$10*'Jutīguma analīze_EA'!$B18</f>
        <v>-330125.46999999997</v>
      </c>
      <c r="E18" s="515">
        <f>'Ekonomiskā analīze'!D$21+'Ekonomiskā analīze'!D$10*'Jutīguma analīze_EA'!$B18</f>
        <v>-503270</v>
      </c>
      <c r="F18" s="515">
        <f>'Ekonomiskā analīze'!E$21+'Ekonomiskā analīze'!E$10*'Jutīguma analīze_EA'!$B18</f>
        <v>29597.325773659166</v>
      </c>
      <c r="G18" s="515">
        <f>'Ekonomiskā analīze'!F$21+'Ekonomiskā analīze'!F$10*'Jutīguma analīze_EA'!$B18</f>
        <v>49394.551210419042</v>
      </c>
      <c r="H18" s="515">
        <f>'Ekonomiskā analīze'!G$21+'Ekonomiskā analīze'!G$10*'Jutīguma analīze_EA'!$B18</f>
        <v>84043.847066483868</v>
      </c>
      <c r="I18" s="515">
        <f>'Ekonomiskā analīze'!H$21+'Ekonomiskā analīze'!H$10*'Jutīguma analīze_EA'!$B18</f>
        <v>114392.3167188404</v>
      </c>
      <c r="J18" s="515">
        <f>'Ekonomiskā analīze'!I$21+'Ekonomiskā analīze'!I$10*'Jutīguma analīze_EA'!$B18</f>
        <v>149656.54930696465</v>
      </c>
      <c r="K18" s="515">
        <f>'Ekonomiskā analīze'!J$21+'Ekonomiskā analīze'!J$10*'Jutīguma analīze_EA'!$B18</f>
        <v>156092.42102275783</v>
      </c>
      <c r="L18" s="515">
        <f>'Ekonomiskā analīze'!K$21+'Ekonomiskā analīze'!K$10*'Jutīguma analīze_EA'!$B18</f>
        <v>158711.34528600896</v>
      </c>
      <c r="M18" s="515">
        <f>'Ekonomiskā analīze'!L$21+'Ekonomiskā analīze'!L$10*'Jutīguma analīze_EA'!$B18</f>
        <v>158682.28542638567</v>
      </c>
      <c r="N18" s="515">
        <f>'Ekonomiskā analīze'!M$21+'Ekonomiskā analīze'!M$10*'Jutīguma analīze_EA'!$B18</f>
        <v>158989.83001297983</v>
      </c>
      <c r="O18" s="515">
        <f>'Ekonomiskā analīze'!N$21+'Ekonomiskā analīze'!N$10*'Jutīguma analīze_EA'!$B18</f>
        <v>158784.98405452003</v>
      </c>
      <c r="P18" s="515">
        <f>'Ekonomiskā analīze'!O$21+'Ekonomiskā analīze'!O$10*'Jutīguma analīze_EA'!$B18</f>
        <v>157142.44809354932</v>
      </c>
      <c r="Q18" s="515">
        <f>'Ekonomiskā analīze'!P$21+'Ekonomiskā analīze'!P$10*'Jutīguma analīze_EA'!$B18</f>
        <v>160540.30800464496</v>
      </c>
      <c r="R18" s="515">
        <f>'Ekonomiskā analīze'!Q$21+'Ekonomiskā analīze'!Q$10*'Jutīguma analīze_EA'!$B18</f>
        <v>166610.50763392006</v>
      </c>
      <c r="S18" s="515">
        <f>'Ekonomiskā analīze'!R$21+'Ekonomiskā analīze'!R$10*'Jutīguma analīze_EA'!$B18</f>
        <v>194335.28310496546</v>
      </c>
      <c r="T18" s="515">
        <f>'Ekonomiskā analīze'!S$21+'Ekonomiskā analīze'!S$10*'Jutīguma analīze_EA'!$B18</f>
        <v>202840.59846977238</v>
      </c>
      <c r="U18" s="515">
        <f>'Ekonomiskā analīze'!T$21+'Ekonomiskā analīze'!T$10*'Jutīguma analīze_EA'!$B18</f>
        <v>202032.27000439406</v>
      </c>
      <c r="V18" s="515">
        <f>'Ekonomiskā analīze'!U$21+'Ekonomiskā analīze'!U$10*'Jutīguma analīze_EA'!$B18</f>
        <v>206223.2775434904</v>
      </c>
      <c r="W18" s="515">
        <f>'Ekonomiskā analīze'!V$21+'Ekonomiskā analīze'!V$10*'Jutīguma analīze_EA'!$B18</f>
        <v>217446.92845237686</v>
      </c>
      <c r="X18" s="515">
        <f>'Ekonomiskā analīze'!W$21+'Ekonomiskā analīze'!W$10*'Jutīguma analīze_EA'!$B18</f>
        <v>221601.33154525523</v>
      </c>
      <c r="Y18" s="515">
        <f>'Ekonomiskā analīze'!X$21+'Ekonomiskā analīze'!X$10*'Jutīguma analīze_EA'!$B18</f>
        <v>228518.73432780229</v>
      </c>
      <c r="Z18" s="515">
        <f>'Ekonomiskā analīze'!Y$21+'Ekonomiskā analīze'!Y$10*'Jutīguma analīze_EA'!$B18</f>
        <v>232673.13742068113</v>
      </c>
      <c r="AA18" s="515">
        <f>'Ekonomiskā analīze'!Z$21+'Ekonomiskā analīze'!Z$10*'Jutīguma analīze_EA'!$B18</f>
        <v>236468.86885523197</v>
      </c>
      <c r="AB18" s="515">
        <f>'Ekonomiskā analīze'!AA$21+'Ekonomiskā analīze'!AA$10*'Jutīguma analīze_EA'!$B18</f>
        <v>240970.12432010961</v>
      </c>
      <c r="AC18" s="515">
        <f>'Ekonomiskā analīze'!AB$21+'Ekonomiskā analīze'!AB$10*'Jutīguma analīze_EA'!$B18</f>
        <v>242811.57637578496</v>
      </c>
      <c r="AD18" s="515">
        <f>'Ekonomiskā analīze'!AC$21+'Ekonomiskā analīze'!AC$10*'Jutīguma analīze_EA'!$B18</f>
        <v>213032.7705102936</v>
      </c>
      <c r="AE18" s="515">
        <f>'Ekonomiskā analīze'!AD$21+'Ekonomiskā analīze'!AD$10*'Jutīguma analīze_EA'!$B18</f>
        <v>148001.140337169</v>
      </c>
      <c r="AF18" s="515">
        <f>'Ekonomiskā analīze'!AE$21+'Ekonomiskā analīze'!AE$10*'Jutīguma analīze_EA'!$B18</f>
        <v>149034.63474157028</v>
      </c>
      <c r="AG18" s="515">
        <f>'Ekonomiskā analīze'!AF$21+'Ekonomiskā analīze'!AF$10*'Jutīguma analīze_EA'!$B18</f>
        <v>142535.75798123071</v>
      </c>
      <c r="AH18" s="515">
        <f>'Ekonomiskā analīze'!AG$21+'Ekonomiskā analīze'!AG$10*'Jutīguma analīze_EA'!$B18</f>
        <v>694013.16362373205</v>
      </c>
      <c r="AI18" s="515">
        <f>'Ekonomiskā analīze'!AH$21+'Ekonomiskā analīze'!AH$10*'Jutīguma analīze_EA'!$B18</f>
        <v>148212.56926623333</v>
      </c>
    </row>
    <row r="19" spans="1:35" ht="12.75" x14ac:dyDescent="0.2">
      <c r="A19" s="794"/>
      <c r="B19" s="115">
        <v>-2.5000000000000001E-2</v>
      </c>
      <c r="C19" s="515">
        <f>'Ekonomiskā analīze'!B$21+'Ekonomiskā analīze'!B$10*'Jutīguma analīze_EA'!$B19</f>
        <v>-591813.79999999993</v>
      </c>
      <c r="D19" s="515">
        <f>'Ekonomiskā analīze'!C$21+'Ekonomiskā analīze'!C$10*'Jutīguma analīze_EA'!$B19</f>
        <v>-330912.96999999997</v>
      </c>
      <c r="E19" s="515">
        <f>'Ekonomiskā analīze'!D$21+'Ekonomiskā analīze'!D$10*'Jutīguma analīze_EA'!$B19</f>
        <v>-504057.5</v>
      </c>
      <c r="F19" s="515">
        <f>'Ekonomiskā analīze'!E$21+'Ekonomiskā analīze'!E$10*'Jutīguma analīze_EA'!$B19</f>
        <v>29418.01273194663</v>
      </c>
      <c r="G19" s="515">
        <f>'Ekonomiskā analīze'!F$21+'Ekonomiskā analīze'!F$10*'Jutīguma analīze_EA'!$B19</f>
        <v>48901.034785851931</v>
      </c>
      <c r="H19" s="515">
        <f>'Ekonomiskā analīze'!G$21+'Ekonomiskā analīze'!G$10*'Jutīguma analīze_EA'!$B19</f>
        <v>83019.513620320155</v>
      </c>
      <c r="I19" s="515">
        <f>'Ekonomiskā analīze'!H$21+'Ekonomiskā analīze'!H$10*'Jutīguma analīze_EA'!$B19</f>
        <v>112906.15761679814</v>
      </c>
      <c r="J19" s="515">
        <f>'Ekonomiskā analīze'!I$21+'Ekonomiskā analīze'!I$10*'Jutīguma analīze_EA'!$B19</f>
        <v>147629.1090980866</v>
      </c>
      <c r="K19" s="515">
        <f>'Ekonomiskā analīze'!J$21+'Ekonomiskā analīze'!J$10*'Jutīguma analīze_EA'!$B19</f>
        <v>154028.89462264121</v>
      </c>
      <c r="L19" s="515">
        <f>'Ekonomiskā analīze'!K$21+'Ekonomiskā analīze'!K$10*'Jutīguma analīze_EA'!$B19</f>
        <v>156611.73269465377</v>
      </c>
      <c r="M19" s="515">
        <f>'Ekonomiskā analīze'!L$21+'Ekonomiskā analīze'!L$10*'Jutīguma analīze_EA'!$B19</f>
        <v>156545.9655573809</v>
      </c>
      <c r="N19" s="515">
        <f>'Ekonomiskā analīze'!M$21+'Ekonomiskā analīze'!M$10*'Jutīguma analīze_EA'!$B19</f>
        <v>156816.95813792825</v>
      </c>
      <c r="O19" s="515">
        <f>'Ekonomiskā analīze'!N$21+'Ekonomiskā analīze'!N$10*'Jutīguma analīze_EA'!$B19</f>
        <v>156578.04451906568</v>
      </c>
      <c r="P19" s="515">
        <f>'Ekonomiskā analīze'!O$21+'Ekonomiskā analīze'!O$10*'Jutīguma analīze_EA'!$B19</f>
        <v>154884.32943168946</v>
      </c>
      <c r="Q19" s="515">
        <f>'Ekonomiskā analīze'!P$21+'Ekonomiskā analīze'!P$10*'Jutīguma analīze_EA'!$B19</f>
        <v>158228.21532753002</v>
      </c>
      <c r="R19" s="515">
        <f>'Ekonomiskā analīze'!Q$21+'Ekonomiskā analīze'!Q$10*'Jutīguma analīze_EA'!$B19</f>
        <v>164245.99365757758</v>
      </c>
      <c r="S19" s="515">
        <f>'Ekonomiskā analīze'!R$21+'Ekonomiskā analīze'!R$10*'Jutīguma analīze_EA'!$B19</f>
        <v>191921.91907625881</v>
      </c>
      <c r="T19" s="515">
        <f>'Ekonomiskā analīze'!S$21+'Ekonomiskā analīze'!S$10*'Jutīguma analīze_EA'!$B19</f>
        <v>200371.24189497481</v>
      </c>
      <c r="U19" s="515">
        <f>'Ekonomiskā analīze'!T$21+'Ekonomiskā analīze'!T$10*'Jutīguma analīze_EA'!$B19</f>
        <v>199510.80267357448</v>
      </c>
      <c r="V19" s="515">
        <f>'Ekonomiskā analīze'!U$21+'Ekonomiskā analīze'!U$10*'Jutīguma analīze_EA'!$B19</f>
        <v>203647.83619741572</v>
      </c>
      <c r="W19" s="515">
        <f>'Ekonomiskā analīze'!V$21+'Ekonomiskā analīze'!V$10*'Jutīguma analīze_EA'!$B19</f>
        <v>214817.35781944435</v>
      </c>
      <c r="X19" s="515">
        <f>'Ekonomiskā analīze'!W$21+'Ekonomiskā analīze'!W$10*'Jutīguma analīze_EA'!$B19</f>
        <v>218917.63162546488</v>
      </c>
      <c r="Y19" s="515">
        <f>'Ekonomiskā analīze'!X$21+'Ekonomiskā analīze'!X$10*'Jutīguma analīze_EA'!$B19</f>
        <v>225781.06039275686</v>
      </c>
      <c r="Z19" s="515">
        <f>'Ekonomiskā analīze'!Y$21+'Ekonomiskā analīze'!Y$10*'Jutīguma analīze_EA'!$B19</f>
        <v>229881.33419877788</v>
      </c>
      <c r="AA19" s="515">
        <f>'Ekonomiskā analīze'!Z$21+'Ekonomiskā analīze'!Z$10*'Jutīguma analīze_EA'!$B19</f>
        <v>233623.09161807364</v>
      </c>
      <c r="AB19" s="515">
        <f>'Ekonomiskā analīze'!AA$21+'Ekonomiskā analīze'!AA$10*'Jutīguma analīze_EA'!$B19</f>
        <v>238070.21779609344</v>
      </c>
      <c r="AC19" s="515">
        <f>'Ekonomiskā analīze'!AB$21+'Ekonomiskā analīze'!AB$10*'Jutīguma analīze_EA'!$B19</f>
        <v>239857.07475010268</v>
      </c>
      <c r="AD19" s="515">
        <f>'Ekonomiskā analīze'!AC$21+'Ekonomiskā analīze'!AC$10*'Jutīguma analīze_EA'!$B19</f>
        <v>210023.51851134247</v>
      </c>
      <c r="AE19" s="515">
        <f>'Ekonomiskā analīze'!AD$21+'Ekonomiskā analīze'!AD$10*'Jutīguma analīze_EA'!$B19</f>
        <v>144927.20058237275</v>
      </c>
      <c r="AF19" s="515">
        <f>'Ekonomiskā analīze'!AE$21+'Ekonomiskā analīze'!AE$10*'Jutīguma analīze_EA'!$B19</f>
        <v>145888.98841910515</v>
      </c>
      <c r="AG19" s="515">
        <f>'Ekonomiskā analīze'!AF$21+'Ekonomiskā analīze'!AF$10*'Jutīguma analīze_EA'!$B19</f>
        <v>139322.13160956287</v>
      </c>
      <c r="AH19" s="515">
        <f>'Ekonomiskā analīze'!AG$21+'Ekonomiskā analīze'!AG$10*'Jutīguma analīze_EA'!$B19</f>
        <v>690727.36486958712</v>
      </c>
      <c r="AI19" s="515">
        <f>'Ekonomiskā analīze'!AH$21+'Ekonomiskā analīze'!AH$10*'Jutīguma analīze_EA'!$B19</f>
        <v>144854.59812961123</v>
      </c>
    </row>
    <row r="20" spans="1:35" ht="12.75" x14ac:dyDescent="0.2">
      <c r="A20" s="794"/>
      <c r="B20" s="115">
        <v>-0.05</v>
      </c>
      <c r="C20" s="515">
        <f>'Ekonomiskā analīze'!B$21+'Ekonomiskā analīze'!B$10*'Jutīguma analīze_EA'!$B20</f>
        <v>-591813.79999999993</v>
      </c>
      <c r="D20" s="515">
        <f>'Ekonomiskā analīze'!C$21+'Ekonomiskā analīze'!C$10*'Jutīguma analīze_EA'!$B20</f>
        <v>-332225.46999999997</v>
      </c>
      <c r="E20" s="515">
        <f>'Ekonomiskā analīze'!D$21+'Ekonomiskā analīze'!D$10*'Jutīguma analīze_EA'!$B20</f>
        <v>-505370</v>
      </c>
      <c r="F20" s="515">
        <f>'Ekonomiskā analīze'!E$21+'Ekonomiskā analīze'!E$10*'Jutīguma analīze_EA'!$B20</f>
        <v>29119.157662425736</v>
      </c>
      <c r="G20" s="515">
        <f>'Ekonomiskā analīze'!F$21+'Ekonomiskā analīze'!F$10*'Jutīguma analīze_EA'!$B20</f>
        <v>48078.507411573417</v>
      </c>
      <c r="H20" s="515">
        <f>'Ekonomiskā analīze'!G$21+'Ekonomiskā analīze'!G$10*'Jutīguma analīze_EA'!$B20</f>
        <v>81312.291210047304</v>
      </c>
      <c r="I20" s="515">
        <f>'Ekonomiskā analīze'!H$21+'Ekonomiskā analīze'!H$10*'Jutīguma analīze_EA'!$B20</f>
        <v>110429.22578006102</v>
      </c>
      <c r="J20" s="515">
        <f>'Ekonomiskā analīze'!I$21+'Ekonomiskā analīze'!I$10*'Jutīguma analīze_EA'!$B20</f>
        <v>144250.04208328979</v>
      </c>
      <c r="K20" s="515">
        <f>'Ekonomiskā analīze'!J$21+'Ekonomiskā analīze'!J$10*'Jutīguma analīze_EA'!$B20</f>
        <v>150589.68395578014</v>
      </c>
      <c r="L20" s="515">
        <f>'Ekonomiskā analīze'!K$21+'Ekonomiskā analīze'!K$10*'Jutīguma analīze_EA'!$B20</f>
        <v>153112.37837572847</v>
      </c>
      <c r="M20" s="515">
        <f>'Ekonomiskā analīze'!L$21+'Ekonomiskā analīze'!L$10*'Jutīguma analīze_EA'!$B20</f>
        <v>152985.43244237296</v>
      </c>
      <c r="N20" s="515">
        <f>'Ekonomiskā analīze'!M$21+'Ekonomiskā analīze'!M$10*'Jutīguma analīze_EA'!$B20</f>
        <v>153195.50501284227</v>
      </c>
      <c r="O20" s="515">
        <f>'Ekonomiskā analīze'!N$21+'Ekonomiskā analīze'!N$10*'Jutīguma analīze_EA'!$B20</f>
        <v>152899.81195997511</v>
      </c>
      <c r="P20" s="515">
        <f>'Ekonomiskā analīze'!O$21+'Ekonomiskā analīze'!O$10*'Jutīguma analīze_EA'!$B20</f>
        <v>151120.79832858974</v>
      </c>
      <c r="Q20" s="515">
        <f>'Ekonomiskā analīze'!P$21+'Ekonomiskā analīze'!P$10*'Jutīguma analīze_EA'!$B20</f>
        <v>154374.7275323385</v>
      </c>
      <c r="R20" s="515">
        <f>'Ekonomiskā analīze'!Q$21+'Ekonomiskā analīze'!Q$10*'Jutīguma analīze_EA'!$B20</f>
        <v>160305.13703034015</v>
      </c>
      <c r="S20" s="515">
        <f>'Ekonomiskā analīze'!R$21+'Ekonomiskā analīze'!R$10*'Jutīguma analīze_EA'!$B20</f>
        <v>187899.64569508104</v>
      </c>
      <c r="T20" s="515">
        <f>'Ekonomiskā analīze'!S$21+'Ekonomiskā analīze'!S$10*'Jutīguma analīze_EA'!$B20</f>
        <v>196255.64760364557</v>
      </c>
      <c r="U20" s="515">
        <f>'Ekonomiskā analīze'!T$21+'Ekonomiskā analīze'!T$10*'Jutīguma analīze_EA'!$B20</f>
        <v>195308.35712220849</v>
      </c>
      <c r="V20" s="515">
        <f>'Ekonomiskā analīze'!U$21+'Ekonomiskā analīze'!U$10*'Jutīguma analīze_EA'!$B20</f>
        <v>199355.43395395795</v>
      </c>
      <c r="W20" s="515">
        <f>'Ekonomiskā analīze'!V$21+'Ekonomiskā analīze'!V$10*'Jutīguma analīze_EA'!$B20</f>
        <v>210434.7400978902</v>
      </c>
      <c r="X20" s="515">
        <f>'Ekonomiskā analīze'!W$21+'Ekonomiskā analīze'!W$10*'Jutīguma analīze_EA'!$B20</f>
        <v>214444.79842581431</v>
      </c>
      <c r="Y20" s="515">
        <f>'Ekonomiskā analīze'!X$21+'Ekonomiskā analīze'!X$10*'Jutīguma analīze_EA'!$B20</f>
        <v>221218.27050101449</v>
      </c>
      <c r="Z20" s="515">
        <f>'Ekonomiskā analīze'!Y$21+'Ekonomiskā analīze'!Y$10*'Jutīguma analīze_EA'!$B20</f>
        <v>225228.32882893912</v>
      </c>
      <c r="AA20" s="515">
        <f>'Ekonomiskā analīze'!Z$21+'Ekonomiskā analīze'!Z$10*'Jutīguma analīze_EA'!$B20</f>
        <v>228880.12955614305</v>
      </c>
      <c r="AB20" s="515">
        <f>'Ekonomiskā analīze'!AA$21+'Ekonomiskā analīze'!AA$10*'Jutīguma analīze_EA'!$B20</f>
        <v>233237.04025606645</v>
      </c>
      <c r="AC20" s="515">
        <f>'Ekonomiskā analīze'!AB$21+'Ekonomiskā analīze'!AB$10*'Jutīguma analīze_EA'!$B20</f>
        <v>234932.90537396556</v>
      </c>
      <c r="AD20" s="515">
        <f>'Ekonomiskā analīze'!AC$21+'Ekonomiskā analīze'!AC$10*'Jutīguma analīze_EA'!$B20</f>
        <v>205008.09851309058</v>
      </c>
      <c r="AE20" s="515">
        <f>'Ekonomiskā analīze'!AD$21+'Ekonomiskā analīze'!AD$10*'Jutīguma analīze_EA'!$B20</f>
        <v>139803.96765771232</v>
      </c>
      <c r="AF20" s="515">
        <f>'Ekonomiskā analīze'!AE$21+'Ekonomiskā analīze'!AE$10*'Jutīguma analīze_EA'!$B20</f>
        <v>140646.24454833</v>
      </c>
      <c r="AG20" s="515">
        <f>'Ekonomiskā analīze'!AF$21+'Ekonomiskā analīze'!AF$10*'Jutīguma analīze_EA'!$B20</f>
        <v>133966.08765678309</v>
      </c>
      <c r="AH20" s="515">
        <f>'Ekonomiskā analīze'!AG$21+'Ekonomiskā analīze'!AG$10*'Jutīguma analīze_EA'!$B20</f>
        <v>685251.03361267876</v>
      </c>
      <c r="AI20" s="515">
        <f>'Ekonomiskā analīze'!AH$21+'Ekonomiskā analīze'!AH$10*'Jutīguma analīze_EA'!$B20</f>
        <v>139257.97956857443</v>
      </c>
    </row>
    <row r="21" spans="1:35" ht="12.75" x14ac:dyDescent="0.2">
      <c r="A21" s="794"/>
      <c r="B21" s="115">
        <v>-7.4999999999999997E-2</v>
      </c>
      <c r="C21" s="515">
        <f>'Ekonomiskā analīze'!B$21+'Ekonomiskā analīze'!B$10*'Jutīguma analīze_EA'!$B21</f>
        <v>-591813.79999999993</v>
      </c>
      <c r="D21" s="515">
        <f>'Ekonomiskā analīze'!C$21+'Ekonomiskā analīze'!C$10*'Jutīguma analīze_EA'!$B21</f>
        <v>-333537.96999999997</v>
      </c>
      <c r="E21" s="515">
        <f>'Ekonomiskā analīze'!D$21+'Ekonomiskā analīze'!D$10*'Jutīguma analīze_EA'!$B21</f>
        <v>-506682.5</v>
      </c>
      <c r="F21" s="515">
        <f>'Ekonomiskā analīze'!E$21+'Ekonomiskā analīze'!E$10*'Jutīguma analīze_EA'!$B21</f>
        <v>28820.302592904838</v>
      </c>
      <c r="G21" s="515">
        <f>'Ekonomiskā analīze'!F$21+'Ekonomiskā analīze'!F$10*'Jutīguma analīze_EA'!$B21</f>
        <v>47255.98003729491</v>
      </c>
      <c r="H21" s="515">
        <f>'Ekonomiskā analīze'!G$21+'Ekonomiskā analīze'!G$10*'Jutīguma analīze_EA'!$B21</f>
        <v>79605.068799774454</v>
      </c>
      <c r="I21" s="515">
        <f>'Ekonomiskā analīze'!H$21+'Ekonomiskā analīze'!H$10*'Jutīguma analīze_EA'!$B21</f>
        <v>107952.29394332392</v>
      </c>
      <c r="J21" s="515">
        <f>'Ekonomiskā analīze'!I$21+'Ekonomiskā analīze'!I$10*'Jutīguma analīze_EA'!$B21</f>
        <v>140870.97506849302</v>
      </c>
      <c r="K21" s="515">
        <f>'Ekonomiskā analīze'!J$21+'Ekonomiskā analīze'!J$10*'Jutīguma analīze_EA'!$B21</f>
        <v>147150.47328891908</v>
      </c>
      <c r="L21" s="515">
        <f>'Ekonomiskā analīze'!K$21+'Ekonomiskā analīze'!K$10*'Jutīguma analīze_EA'!$B21</f>
        <v>149613.02405680314</v>
      </c>
      <c r="M21" s="515">
        <f>'Ekonomiskā analīze'!L$21+'Ekonomiskā analīze'!L$10*'Jutīguma analīze_EA'!$B21</f>
        <v>149424.89932736504</v>
      </c>
      <c r="N21" s="515">
        <f>'Ekonomiskā analīze'!M$21+'Ekonomiskā analīze'!M$10*'Jutīguma analīze_EA'!$B21</f>
        <v>149574.0518877563</v>
      </c>
      <c r="O21" s="515">
        <f>'Ekonomiskā analīze'!N$21+'Ekonomiskā analīze'!N$10*'Jutīguma analīze_EA'!$B21</f>
        <v>149221.57940088457</v>
      </c>
      <c r="P21" s="515">
        <f>'Ekonomiskā analīze'!O$21+'Ekonomiskā analīze'!O$10*'Jutīguma analīze_EA'!$B21</f>
        <v>147357.26722548998</v>
      </c>
      <c r="Q21" s="515">
        <f>'Ekonomiskā analīze'!P$21+'Ekonomiskā analīze'!P$10*'Jutīguma analīze_EA'!$B21</f>
        <v>150521.23973714694</v>
      </c>
      <c r="R21" s="515">
        <f>'Ekonomiskā analīze'!Q$21+'Ekonomiskā analīze'!Q$10*'Jutīguma analīze_EA'!$B21</f>
        <v>156364.28040310269</v>
      </c>
      <c r="S21" s="515">
        <f>'Ekonomiskā analīze'!R$21+'Ekonomiskā analīze'!R$10*'Jutīguma analīze_EA'!$B21</f>
        <v>183877.37231390327</v>
      </c>
      <c r="T21" s="515">
        <f>'Ekonomiskā analīze'!S$21+'Ekonomiskā analīze'!S$10*'Jutīguma analīze_EA'!$B21</f>
        <v>192140.0533123163</v>
      </c>
      <c r="U21" s="515">
        <f>'Ekonomiskā analīze'!T$21+'Ekonomiskā analīze'!T$10*'Jutīguma analīze_EA'!$B21</f>
        <v>191105.91157084252</v>
      </c>
      <c r="V21" s="515">
        <f>'Ekonomiskā analīze'!U$21+'Ekonomiskā analīze'!U$10*'Jutīguma analīze_EA'!$B21</f>
        <v>195063.03171050016</v>
      </c>
      <c r="W21" s="515">
        <f>'Ekonomiskā analīze'!V$21+'Ekonomiskā analīze'!V$10*'Jutīguma analīze_EA'!$B21</f>
        <v>206052.12237633602</v>
      </c>
      <c r="X21" s="515">
        <f>'Ekonomiskā analīze'!W$21+'Ekonomiskā analīze'!W$10*'Jutīguma analīze_EA'!$B21</f>
        <v>209971.96522616374</v>
      </c>
      <c r="Y21" s="515">
        <f>'Ekonomiskā analīze'!X$21+'Ekonomiskā analīze'!X$10*'Jutīguma analīze_EA'!$B21</f>
        <v>216655.48060927211</v>
      </c>
      <c r="Z21" s="515">
        <f>'Ekonomiskā analīze'!Y$21+'Ekonomiskā analīze'!Y$10*'Jutīguma analīze_EA'!$B21</f>
        <v>220575.32345910033</v>
      </c>
      <c r="AA21" s="515">
        <f>'Ekonomiskā analīze'!Z$21+'Ekonomiskā analīze'!Z$10*'Jutīguma analīze_EA'!$B21</f>
        <v>224137.16749421248</v>
      </c>
      <c r="AB21" s="515">
        <f>'Ekonomiskā analīze'!AA$21+'Ekonomiskā analīze'!AA$10*'Jutīguma analīze_EA'!$B21</f>
        <v>228403.8627160395</v>
      </c>
      <c r="AC21" s="515">
        <f>'Ekonomiskā analīze'!AB$21+'Ekonomiskā analīze'!AB$10*'Jutīguma analīze_EA'!$B21</f>
        <v>230008.73599782842</v>
      </c>
      <c r="AD21" s="515">
        <f>'Ekonomiskā analīze'!AC$21+'Ekonomiskā analīze'!AC$10*'Jutīguma analīze_EA'!$B21</f>
        <v>199992.67851483868</v>
      </c>
      <c r="AE21" s="515">
        <f>'Ekonomiskā analīze'!AD$21+'Ekonomiskā analīze'!AD$10*'Jutīguma analīze_EA'!$B21</f>
        <v>134680.73473305191</v>
      </c>
      <c r="AF21" s="515">
        <f>'Ekonomiskā analīze'!AE$21+'Ekonomiskā analīze'!AE$10*'Jutīguma analīze_EA'!$B21</f>
        <v>135403.50067755481</v>
      </c>
      <c r="AG21" s="515">
        <f>'Ekonomiskā analīze'!AF$21+'Ekonomiskā analīze'!AF$10*'Jutīguma analīze_EA'!$B21</f>
        <v>128610.04370400333</v>
      </c>
      <c r="AH21" s="515">
        <f>'Ekonomiskā analīze'!AG$21+'Ekonomiskā analīze'!AG$10*'Jutīguma analīze_EA'!$B21</f>
        <v>679774.70235577051</v>
      </c>
      <c r="AI21" s="515">
        <f>'Ekonomiskā analīze'!AH$21+'Ekonomiskā analīze'!AH$10*'Jutīguma analīze_EA'!$B21</f>
        <v>133661.36100753761</v>
      </c>
    </row>
    <row r="22" spans="1:35" ht="12.75" x14ac:dyDescent="0.2">
      <c r="A22" s="795"/>
      <c r="B22" s="115">
        <v>-0.1</v>
      </c>
      <c r="C22" s="515">
        <f>'Ekonomiskā analīze'!B$21+'Ekonomiskā analīze'!B$10*'Jutīguma analīze_EA'!$B22</f>
        <v>-591813.79999999993</v>
      </c>
      <c r="D22" s="515">
        <f>'Ekonomiskā analīze'!C$21+'Ekonomiskā analīze'!C$10*'Jutīguma analīze_EA'!$B22</f>
        <v>-334850.46999999997</v>
      </c>
      <c r="E22" s="515">
        <f>'Ekonomiskā analīze'!D$21+'Ekonomiskā analīze'!D$10*'Jutīguma analīze_EA'!$B22</f>
        <v>-507995</v>
      </c>
      <c r="F22" s="515">
        <f>'Ekonomiskā analīze'!E$21+'Ekonomiskā analīze'!E$10*'Jutīguma analīze_EA'!$B22</f>
        <v>28521.447523383944</v>
      </c>
      <c r="G22" s="515">
        <f>'Ekonomiskā analīze'!F$21+'Ekonomiskā analīze'!F$10*'Jutīguma analīze_EA'!$B22</f>
        <v>46433.452663016396</v>
      </c>
      <c r="H22" s="515">
        <f>'Ekonomiskā analīze'!G$21+'Ekonomiskā analīze'!G$10*'Jutīguma analīze_EA'!$B22</f>
        <v>77897.846389501603</v>
      </c>
      <c r="I22" s="515">
        <f>'Ekonomiskā analīze'!H$21+'Ekonomiskā analīze'!H$10*'Jutīguma analīze_EA'!$B22</f>
        <v>105475.36210658681</v>
      </c>
      <c r="J22" s="515">
        <f>'Ekonomiskā analīze'!I$21+'Ekonomiskā analīze'!I$10*'Jutīguma analīze_EA'!$B22</f>
        <v>137491.90805369621</v>
      </c>
      <c r="K22" s="515">
        <f>'Ekonomiskā analīze'!J$21+'Ekonomiskā analīze'!J$10*'Jutīguma analīze_EA'!$B22</f>
        <v>143711.26262205804</v>
      </c>
      <c r="L22" s="515">
        <f>'Ekonomiskā analīze'!K$21+'Ekonomiskā analīze'!K$10*'Jutīguma analīze_EA'!$B22</f>
        <v>146113.66973787785</v>
      </c>
      <c r="M22" s="515">
        <f>'Ekonomiskā analīze'!L$21+'Ekonomiskā analīze'!L$10*'Jutīguma analīze_EA'!$B22</f>
        <v>145864.3662123571</v>
      </c>
      <c r="N22" s="515">
        <f>'Ekonomiskā analīze'!M$21+'Ekonomiskā analīze'!M$10*'Jutīguma analīze_EA'!$B22</f>
        <v>145952.59876267033</v>
      </c>
      <c r="O22" s="515">
        <f>'Ekonomiskā analīze'!N$21+'Ekonomiskā analīze'!N$10*'Jutīguma analīze_EA'!$B22</f>
        <v>145543.346841794</v>
      </c>
      <c r="P22" s="515">
        <f>'Ekonomiskā analīze'!O$21+'Ekonomiskā analīze'!O$10*'Jutīguma analīze_EA'!$B22</f>
        <v>143593.73612239026</v>
      </c>
      <c r="Q22" s="515">
        <f>'Ekonomiskā analīze'!P$21+'Ekonomiskā analīze'!P$10*'Jutīguma analīze_EA'!$B22</f>
        <v>146667.75194195539</v>
      </c>
      <c r="R22" s="515">
        <f>'Ekonomiskā analīze'!Q$21+'Ekonomiskā analīze'!Q$10*'Jutīguma analīze_EA'!$B22</f>
        <v>152423.42377586523</v>
      </c>
      <c r="S22" s="515">
        <f>'Ekonomiskā analīze'!R$21+'Ekonomiskā analīze'!R$10*'Jutīguma analīze_EA'!$B22</f>
        <v>179855.09893272549</v>
      </c>
      <c r="T22" s="515">
        <f>'Ekonomiskā analīze'!S$21+'Ekonomiskā analīze'!S$10*'Jutīguma analīze_EA'!$B22</f>
        <v>188024.45902098707</v>
      </c>
      <c r="U22" s="515">
        <f>'Ekonomiskā analīze'!T$21+'Ekonomiskā analīze'!T$10*'Jutīguma analīze_EA'!$B22</f>
        <v>186903.46601947653</v>
      </c>
      <c r="V22" s="515">
        <f>'Ekonomiskā analīze'!U$21+'Ekonomiskā analīze'!U$10*'Jutīguma analīze_EA'!$B22</f>
        <v>190770.6294670424</v>
      </c>
      <c r="W22" s="515">
        <f>'Ekonomiskā analīze'!V$21+'Ekonomiskā analīze'!V$10*'Jutīguma analīze_EA'!$B22</f>
        <v>201669.50465478183</v>
      </c>
      <c r="X22" s="515">
        <f>'Ekonomiskā analīze'!W$21+'Ekonomiskā analīze'!W$10*'Jutīguma analīze_EA'!$B22</f>
        <v>205499.13202651319</v>
      </c>
      <c r="Y22" s="515">
        <f>'Ekonomiskā analīze'!X$21+'Ekonomiskā analīze'!X$10*'Jutīguma analīze_EA'!$B22</f>
        <v>212092.69071752974</v>
      </c>
      <c r="Z22" s="515">
        <f>'Ekonomiskā analīze'!Y$21+'Ekonomiskā analīze'!Y$10*'Jutīguma analīze_EA'!$B22</f>
        <v>215922.31808926156</v>
      </c>
      <c r="AA22" s="515">
        <f>'Ekonomiskā analīze'!Z$21+'Ekonomiskā analīze'!Z$10*'Jutīguma analīze_EA'!$B22</f>
        <v>219394.20543228192</v>
      </c>
      <c r="AB22" s="515">
        <f>'Ekonomiskā analīze'!AA$21+'Ekonomiskā analīze'!AA$10*'Jutīguma analīze_EA'!$B22</f>
        <v>223570.68517601251</v>
      </c>
      <c r="AC22" s="515">
        <f>'Ekonomiskā analīze'!AB$21+'Ekonomiskā analīze'!AB$10*'Jutīguma analīze_EA'!$B22</f>
        <v>225084.56662169128</v>
      </c>
      <c r="AD22" s="515">
        <f>'Ekonomiskā analīze'!AC$21+'Ekonomiskā analīze'!AC$10*'Jutīguma analīze_EA'!$B22</f>
        <v>194977.25851658679</v>
      </c>
      <c r="AE22" s="515">
        <f>'Ekonomiskā analīze'!AD$21+'Ekonomiskā analīze'!AD$10*'Jutīguma analīze_EA'!$B22</f>
        <v>129557.50180839148</v>
      </c>
      <c r="AF22" s="515">
        <f>'Ekonomiskā analīze'!AE$21+'Ekonomiskā analīze'!AE$10*'Jutīguma analīze_EA'!$B22</f>
        <v>130160.75680677964</v>
      </c>
      <c r="AG22" s="515">
        <f>'Ekonomiskā analīze'!AF$21+'Ekonomiskā analīze'!AF$10*'Jutīguma analīze_EA'!$B22</f>
        <v>123253.99975122357</v>
      </c>
      <c r="AH22" s="515">
        <f>'Ekonomiskā analīze'!AG$21+'Ekonomiskā analīze'!AG$10*'Jutīguma analīze_EA'!$B22</f>
        <v>674298.37109886226</v>
      </c>
      <c r="AI22" s="515">
        <f>'Ekonomiskā analīze'!AH$21+'Ekonomiskā analīze'!AH$10*'Jutīguma analīze_EA'!$B22</f>
        <v>128064.74244650078</v>
      </c>
    </row>
    <row r="23" spans="1:35" ht="12.75" x14ac:dyDescent="0.2">
      <c r="A23" s="504"/>
      <c r="B23" s="504"/>
      <c r="C23" s="504"/>
    </row>
    <row r="24" spans="1:35" ht="25.5" x14ac:dyDescent="0.2">
      <c r="A24" s="513"/>
      <c r="B24" s="514" t="s">
        <v>184</v>
      </c>
      <c r="C24" s="514">
        <f t="shared" ref="C24:AI24" si="0">C10</f>
        <v>2017</v>
      </c>
      <c r="D24" s="514">
        <f t="shared" si="0"/>
        <v>2018</v>
      </c>
      <c r="E24" s="514">
        <f t="shared" si="0"/>
        <v>2019</v>
      </c>
      <c r="F24" s="514">
        <f t="shared" si="0"/>
        <v>2020</v>
      </c>
      <c r="G24" s="514">
        <f t="shared" si="0"/>
        <v>2021</v>
      </c>
      <c r="H24" s="514">
        <f t="shared" si="0"/>
        <v>2022</v>
      </c>
      <c r="I24" s="514">
        <f t="shared" si="0"/>
        <v>2023</v>
      </c>
      <c r="J24" s="514">
        <f t="shared" si="0"/>
        <v>2024</v>
      </c>
      <c r="K24" s="514">
        <f t="shared" si="0"/>
        <v>2025</v>
      </c>
      <c r="L24" s="514">
        <f t="shared" si="0"/>
        <v>2026</v>
      </c>
      <c r="M24" s="514">
        <f t="shared" si="0"/>
        <v>2027</v>
      </c>
      <c r="N24" s="514">
        <f t="shared" si="0"/>
        <v>2028</v>
      </c>
      <c r="O24" s="514">
        <f t="shared" si="0"/>
        <v>2029</v>
      </c>
      <c r="P24" s="514">
        <f t="shared" si="0"/>
        <v>2030</v>
      </c>
      <c r="Q24" s="514">
        <f t="shared" si="0"/>
        <v>2031</v>
      </c>
      <c r="R24" s="514">
        <f t="shared" si="0"/>
        <v>2032</v>
      </c>
      <c r="S24" s="514">
        <f t="shared" si="0"/>
        <v>2033</v>
      </c>
      <c r="T24" s="514">
        <f t="shared" si="0"/>
        <v>2034</v>
      </c>
      <c r="U24" s="514">
        <f t="shared" si="0"/>
        <v>2035</v>
      </c>
      <c r="V24" s="514">
        <f t="shared" si="0"/>
        <v>2036</v>
      </c>
      <c r="W24" s="514">
        <f t="shared" si="0"/>
        <v>2037</v>
      </c>
      <c r="X24" s="514">
        <f t="shared" si="0"/>
        <v>2038</v>
      </c>
      <c r="Y24" s="514">
        <f t="shared" si="0"/>
        <v>2039</v>
      </c>
      <c r="Z24" s="514">
        <f t="shared" si="0"/>
        <v>2040</v>
      </c>
      <c r="AA24" s="514">
        <f t="shared" si="0"/>
        <v>2041</v>
      </c>
      <c r="AB24" s="514">
        <f t="shared" si="0"/>
        <v>2042</v>
      </c>
      <c r="AC24" s="514">
        <f t="shared" si="0"/>
        <v>2043</v>
      </c>
      <c r="AD24" s="514">
        <f t="shared" si="0"/>
        <v>2044</v>
      </c>
      <c r="AE24" s="514">
        <f t="shared" si="0"/>
        <v>2045</v>
      </c>
      <c r="AF24" s="514">
        <f t="shared" si="0"/>
        <v>2046</v>
      </c>
      <c r="AG24" s="514">
        <f t="shared" si="0"/>
        <v>2047</v>
      </c>
      <c r="AH24" s="514">
        <f t="shared" si="0"/>
        <v>2048</v>
      </c>
      <c r="AI24" s="514">
        <f t="shared" si="0"/>
        <v>2049</v>
      </c>
    </row>
    <row r="25" spans="1:35" ht="12.75" x14ac:dyDescent="0.2">
      <c r="A25" s="641" t="s">
        <v>146</v>
      </c>
      <c r="B25" s="657"/>
      <c r="C25" s="657"/>
      <c r="D25" s="657"/>
      <c r="E25" s="657"/>
      <c r="F25" s="657"/>
      <c r="G25" s="657"/>
      <c r="H25" s="657"/>
      <c r="I25" s="657"/>
      <c r="J25" s="657"/>
      <c r="K25" s="657"/>
      <c r="L25" s="657"/>
      <c r="M25" s="657"/>
      <c r="N25" s="657"/>
      <c r="O25" s="657"/>
      <c r="P25" s="657"/>
      <c r="Q25" s="657"/>
      <c r="R25" s="657"/>
      <c r="S25" s="657"/>
      <c r="T25" s="657"/>
      <c r="U25" s="657"/>
      <c r="V25" s="657"/>
      <c r="W25" s="657"/>
      <c r="X25" s="657"/>
      <c r="Y25" s="657"/>
      <c r="Z25" s="657"/>
      <c r="AA25" s="657"/>
      <c r="AB25" s="657"/>
      <c r="AC25" s="657"/>
      <c r="AD25" s="657"/>
      <c r="AE25" s="657"/>
      <c r="AF25" s="657"/>
      <c r="AG25" s="657"/>
      <c r="AH25" s="657"/>
      <c r="AI25" s="657"/>
    </row>
    <row r="26" spans="1:35" ht="12.75" x14ac:dyDescent="0.2">
      <c r="A26" s="793"/>
      <c r="B26" s="115">
        <v>0.1</v>
      </c>
      <c r="C26" s="515">
        <f>'Ekonomiskā analīze'!B$21+'Ekonomiskā analīze'!B$11*'Jutīguma analīze_EA'!$B26</f>
        <v>-591813.79999999993</v>
      </c>
      <c r="D26" s="515">
        <f>'Ekonomiskā analīze'!C$21+'Ekonomiskā analīze'!C$11*'Jutīguma analīze_EA'!$B26</f>
        <v>-329600.46999999997</v>
      </c>
      <c r="E26" s="515">
        <f>'Ekonomiskā analīze'!D$21+'Ekonomiskā analīze'!D$11*'Jutīguma analīze_EA'!$B26</f>
        <v>-502745</v>
      </c>
      <c r="F26" s="515">
        <f>'Ekonomiskā analīze'!E$21+'Ekonomiskā analīze'!E$11*'Jutīguma analīze_EA'!$B26</f>
        <v>31641.585195867672</v>
      </c>
      <c r="G26" s="515">
        <f>'Ekonomiskā analīze'!F$21+'Ekonomiskā analīze'!F$11*'Jutīguma analīze_EA'!$B26</f>
        <v>51632.216983124024</v>
      </c>
      <c r="H26" s="515">
        <f>'Ekonomiskā analīze'!G$21+'Ekonomiskā analīze'!G$11*'Jutīguma analīze_EA'!$B26</f>
        <v>86677.222837941677</v>
      </c>
      <c r="I26" s="515">
        <f>'Ekonomiskā analīze'!H$21+'Ekonomiskā analīze'!H$11*'Jutīguma analīze_EA'!$B26</f>
        <v>117325.96473384576</v>
      </c>
      <c r="J26" s="515">
        <f>'Ekonomiskā analīze'!I$21+'Ekonomiskā analīze'!I$11*'Jutīguma analīze_EA'!$B26</f>
        <v>152910.61418341464</v>
      </c>
      <c r="K26" s="515">
        <f>'Ekonomiskā analīze'!J$21+'Ekonomiskā analīze'!J$11*'Jutīguma analīze_EA'!$B26</f>
        <v>159781.442505963</v>
      </c>
      <c r="L26" s="515">
        <f>'Ekonomiskā analīze'!K$21+'Ekonomiskā analīze'!K$11*'Jutīguma analīze_EA'!$B26</f>
        <v>162453.62863071516</v>
      </c>
      <c r="M26" s="515">
        <f>'Ekonomiskā analīze'!L$21+'Ekonomiskā analīze'!L$11*'Jutīguma analīze_EA'!$B26</f>
        <v>162430.50899190002</v>
      </c>
      <c r="N26" s="515">
        <f>'Ekonomiskā analīze'!M$21+'Ekonomiskā analīze'!M$11*'Jutīguma analīze_EA'!$B26</f>
        <v>162778.57552210047</v>
      </c>
      <c r="O26" s="515">
        <f>'Ekonomiskā analīze'!N$21+'Ekonomiskā analīze'!N$11*'Jutīguma analīze_EA'!$B26</f>
        <v>162577.752903563</v>
      </c>
      <c r="P26" s="515">
        <f>'Ekonomiskā analīze'!O$21+'Ekonomiskā analīze'!O$11*'Jutīguma analīze_EA'!$B26</f>
        <v>160475.52178460953</v>
      </c>
      <c r="Q26" s="515">
        <f>'Ekonomiskā analīze'!P$21+'Ekonomiskā analīze'!P$11*'Jutīguma analīze_EA'!$B26</f>
        <v>163901.14311775489</v>
      </c>
      <c r="R26" s="515">
        <f>'Ekonomiskā analīze'!Q$21+'Ekonomiskā analīze'!Q$11*'Jutīguma analīze_EA'!$B26</f>
        <v>170275.55092266109</v>
      </c>
      <c r="S26" s="515">
        <f>'Ekonomiskā analīze'!R$21+'Ekonomiskā analīze'!R$11*'Jutīguma analīze_EA'!$B26</f>
        <v>197869.18155157045</v>
      </c>
      <c r="T26" s="515">
        <f>'Ekonomiskā analīze'!S$21+'Ekonomiskā analīze'!S$11*'Jutīguma analīze_EA'!$B26</f>
        <v>206844.02726750576</v>
      </c>
      <c r="U26" s="515">
        <f>'Ekonomiskā analīze'!T$21+'Ekonomiskā analīze'!T$11*'Jutīguma analīze_EA'!$B26</f>
        <v>205596.89672464586</v>
      </c>
      <c r="V26" s="515">
        <f>'Ekonomiskā analīze'!U$21+'Ekonomiskā analīze'!U$11*'Jutīguma analīze_EA'!$B26</f>
        <v>209837.98044859202</v>
      </c>
      <c r="W26" s="515">
        <f>'Ekonomiskā analīze'!V$21+'Ekonomiskā analīze'!V$11*'Jutīguma analīze_EA'!$B26</f>
        <v>221064.05060113096</v>
      </c>
      <c r="X26" s="515">
        <f>'Ekonomiskā analīze'!W$21+'Ekonomiskā analīze'!W$11*'Jutīguma analīze_EA'!$B26</f>
        <v>225248.94815606097</v>
      </c>
      <c r="Y26" s="515">
        <f>'Ekonomiskā analīze'!X$21+'Ekonomiskā analīze'!X$11*'Jutīguma analīze_EA'!$B26</f>
        <v>232474.06664780292</v>
      </c>
      <c r="Z26" s="515">
        <f>'Ekonomiskā analīze'!Y$21+'Ekonomiskā analīze'!Y$11*'Jutīguma analīze_EA'!$B26</f>
        <v>236658.96420273345</v>
      </c>
      <c r="AA26" s="515">
        <f>'Ekonomiskā analīze'!Z$21+'Ekonomiskā analīze'!Z$11*'Jutīguma analīze_EA'!$B26</f>
        <v>240450.24421167953</v>
      </c>
      <c r="AB26" s="515">
        <f>'Ekonomiskā analīze'!AA$21+'Ekonomiskā analīze'!AA$11*'Jutīguma analīze_EA'!$B26</f>
        <v>245016.67937580874</v>
      </c>
      <c r="AC26" s="515">
        <f>'Ekonomiskā analīze'!AB$21+'Ekonomiskā analīze'!AB$11*'Jutīguma analīze_EA'!$B26</f>
        <v>246875.72883958643</v>
      </c>
      <c r="AD26" s="515">
        <f>'Ekonomiskā analīze'!AC$21+'Ekonomiskā analīze'!AC$11*'Jutīguma analīze_EA'!$B26</f>
        <v>217371.57331190439</v>
      </c>
      <c r="AE26" s="515">
        <f>'Ekonomiskā analīze'!AD$21+'Ekonomiskā analīze'!AD$11*'Jutīguma analīze_EA'!$B26</f>
        <v>153848.34924253996</v>
      </c>
      <c r="AF26" s="515">
        <f>'Ekonomiskā analīze'!AE$21+'Ekonomiskā analīze'!AE$11*'Jutīguma analīze_EA'!$B26</f>
        <v>154918.11725829978</v>
      </c>
      <c r="AG26" s="515">
        <f>'Ekonomiskā analīze'!AF$21+'Ekonomiskā analīze'!AF$11*'Jutīguma analīze_EA'!$B26</f>
        <v>147548.96620303925</v>
      </c>
      <c r="AH26" s="515">
        <f>'Ekonomiskā analīze'!AG$21+'Ekonomiskā analīze'!AG$11*'Jutīguma analīze_EA'!$B26</f>
        <v>699064.95128014253</v>
      </c>
      <c r="AI26" s="515">
        <f>'Ekonomiskā analīze'!AH$21+'Ekonomiskā analīze'!AH$11*'Jutīguma analīze_EA'!$B26</f>
        <v>153302.93635724566</v>
      </c>
    </row>
    <row r="27" spans="1:35" ht="12.75" x14ac:dyDescent="0.2">
      <c r="A27" s="794"/>
      <c r="B27" s="115">
        <v>7.4999999999999997E-2</v>
      </c>
      <c r="C27" s="515">
        <f>'Ekonomiskā analīze'!B$21+'Ekonomiskā analīze'!B$11*'Jutīguma analīze_EA'!$B27</f>
        <v>-591813.79999999993</v>
      </c>
      <c r="D27" s="515">
        <f>'Ekonomiskā analīze'!C$21+'Ekonomiskā analīze'!C$11*'Jutīguma analīze_EA'!$B27</f>
        <v>-329600.46999999997</v>
      </c>
      <c r="E27" s="515">
        <f>'Ekonomiskā analīze'!D$21+'Ekonomiskā analīze'!D$11*'Jutīguma analīze_EA'!$B27</f>
        <v>-502745</v>
      </c>
      <c r="F27" s="515">
        <f>'Ekonomiskā analīze'!E$21+'Ekonomiskā analīze'!E$11*'Jutīguma analīze_EA'!$B27</f>
        <v>31160.405847267633</v>
      </c>
      <c r="G27" s="515">
        <f>'Ekonomiskā analīze'!F$21+'Ekonomiskā analīze'!F$11*'Jutīguma analīze_EA'!$B27</f>
        <v>51155.053277375628</v>
      </c>
      <c r="H27" s="515">
        <f>'Ekonomiskā analīze'!G$21+'Ekonomiskā analīze'!G$11*'Jutīguma analīze_EA'!$B27</f>
        <v>86189.601136104509</v>
      </c>
      <c r="I27" s="515">
        <f>'Ekonomiskā analīze'!H$21+'Ekonomiskā analīze'!H$11*'Jutīguma analīze_EA'!$B27</f>
        <v>116840.24591376813</v>
      </c>
      <c r="J27" s="515">
        <f>'Ekonomiskā analīze'!I$21+'Ekonomiskā analīze'!I$11*'Jutīguma analīze_EA'!$B27</f>
        <v>152435.00466578183</v>
      </c>
      <c r="K27" s="515">
        <f>'Ekonomiskā analīze'!J$21+'Ekonomiskā analīze'!J$11*'Jutīguma analīze_EA'!$B27</f>
        <v>159203.10820184782</v>
      </c>
      <c r="L27" s="515">
        <f>'Ekonomiskā analīze'!K$21+'Ekonomiskā analīze'!K$11*'Jutīguma analīze_EA'!$B27</f>
        <v>161867.99322643114</v>
      </c>
      <c r="M27" s="515">
        <f>'Ekonomiskā analīze'!L$21+'Ekonomiskā analīze'!L$11*'Jutīguma analīze_EA'!$B27</f>
        <v>161849.50641202222</v>
      </c>
      <c r="N27" s="515">
        <f>'Ekonomiskā analīze'!M$21+'Ekonomiskā analīze'!M$11*'Jutīguma analīze_EA'!$B27</f>
        <v>162193.5344573289</v>
      </c>
      <c r="O27" s="515">
        <f>'Ekonomiskā analīze'!N$21+'Ekonomiskā analīze'!N$11*'Jutīguma analīze_EA'!$B27</f>
        <v>161997.38394721132</v>
      </c>
      <c r="P27" s="515">
        <f>'Ekonomiskā analīze'!O$21+'Ekonomiskā analīze'!O$11*'Jutīguma analīze_EA'!$B27</f>
        <v>160018.60647215444</v>
      </c>
      <c r="Q27" s="515">
        <f>'Ekonomiskā analīze'!P$21+'Ekonomiskā analīze'!P$11*'Jutīguma analīze_EA'!$B27</f>
        <v>163446.28311899657</v>
      </c>
      <c r="R27" s="515">
        <f>'Ekonomiskā analīze'!Q$21+'Ekonomiskā analīze'!Q$11*'Jutīguma analīze_EA'!$B27</f>
        <v>169753.37576319955</v>
      </c>
      <c r="S27" s="515">
        <f>'Ekonomiskā analīze'!R$21+'Ekonomiskā analīze'!R$11*'Jutīguma analīze_EA'!$B27</f>
        <v>197387.93427803699</v>
      </c>
      <c r="T27" s="515">
        <f>'Ekonomiskā analīze'!S$21+'Ekonomiskā analīze'!S$11*'Jutīguma analīze_EA'!$B27</f>
        <v>206254.72949720535</v>
      </c>
      <c r="U27" s="515">
        <f>'Ekonomiskā analīze'!T$21+'Ekonomiskā analīze'!T$11*'Jutīguma analīze_EA'!$B27</f>
        <v>205125.98459971952</v>
      </c>
      <c r="V27" s="515">
        <f>'Ekonomiskā analīze'!U$21+'Ekonomiskā analīze'!U$11*'Jutīguma analīze_EA'!$B27</f>
        <v>209363.54494666238</v>
      </c>
      <c r="W27" s="515">
        <f>'Ekonomiskā analīze'!V$21+'Ekonomiskā analīze'!V$11*'Jutīguma analīze_EA'!$B27</f>
        <v>220598.03183609786</v>
      </c>
      <c r="X27" s="515">
        <f>'Ekonomiskā analīze'!W$21+'Ekonomiskā analīze'!W$11*'Jutīguma analīze_EA'!$B27</f>
        <v>224784.3273233246</v>
      </c>
      <c r="Y27" s="515">
        <f>'Ekonomiskā analīze'!X$21+'Ekonomiskā analīze'!X$11*'Jutīguma analīze_EA'!$B27</f>
        <v>231941.51255697699</v>
      </c>
      <c r="Z27" s="515">
        <f>'Ekonomiskā analīze'!Y$21+'Ekonomiskā analīze'!Y$11*'Jutīguma analīze_EA'!$B27</f>
        <v>236127.80804420426</v>
      </c>
      <c r="AA27" s="515">
        <f>'Ekonomiskā analīze'!Z$21+'Ekonomiskā analīze'!Z$11*'Jutīguma analīze_EA'!$B27</f>
        <v>239929.19657876069</v>
      </c>
      <c r="AB27" s="515">
        <f>'Ekonomiskā analīze'!AA$21+'Ekonomiskā analīze'!AA$11*'Jutīguma analīze_EA'!$B27</f>
        <v>244488.35836588667</v>
      </c>
      <c r="AC27" s="515">
        <f>'Ekonomiskā analīze'!AB$21+'Ekonomiskā analīze'!AB$11*'Jutīguma analīze_EA'!$B27</f>
        <v>246352.10766124979</v>
      </c>
      <c r="AD27" s="515">
        <f>'Ekonomiskā analīze'!AC$21+'Ekonomiskā analīze'!AC$11*'Jutīguma analīze_EA'!$B27</f>
        <v>216788.41461132688</v>
      </c>
      <c r="AE27" s="515">
        <f>'Ekonomiskā analīze'!AD$21+'Ekonomiskā analīze'!AD$11*'Jutīguma analīze_EA'!$B27</f>
        <v>152898.87030866326</v>
      </c>
      <c r="AF27" s="515">
        <f>'Ekonomiskā analīze'!AE$21+'Ekonomiskā analīze'!AE$11*'Jutīguma analīze_EA'!$B27</f>
        <v>153971.52101619492</v>
      </c>
      <c r="AG27" s="515">
        <f>'Ekonomiskā analīze'!AF$21+'Ekonomiskā analīze'!AF$11*'Jutīguma analīze_EA'!$B27</f>
        <v>146831.26854286509</v>
      </c>
      <c r="AH27" s="515">
        <f>'Ekonomiskā analīze'!AG$21+'Ekonomiskā analīze'!AG$11*'Jutīguma analīze_EA'!$B27</f>
        <v>698349.63749173074</v>
      </c>
      <c r="AI27" s="515">
        <f>'Ekonomiskā analīze'!AH$21+'Ekonomiskā analīze'!AH$11*'Jutīguma analīze_EA'!$B27</f>
        <v>152590.00644059625</v>
      </c>
    </row>
    <row r="28" spans="1:35" ht="12.75" x14ac:dyDescent="0.2">
      <c r="A28" s="794"/>
      <c r="B28" s="115">
        <v>0.05</v>
      </c>
      <c r="C28" s="515">
        <f>'Ekonomiskā analīze'!B$21+'Ekonomiskā analīze'!B$11*'Jutīguma analīze_EA'!$B28</f>
        <v>-591813.79999999993</v>
      </c>
      <c r="D28" s="515">
        <f>'Ekonomiskā analīze'!C$21+'Ekonomiskā analīze'!C$11*'Jutīguma analīze_EA'!$B28</f>
        <v>-329600.46999999997</v>
      </c>
      <c r="E28" s="515">
        <f>'Ekonomiskā analīze'!D$21+'Ekonomiskā analīze'!D$11*'Jutīguma analīze_EA'!$B28</f>
        <v>-502745</v>
      </c>
      <c r="F28" s="515">
        <f>'Ekonomiskā analīze'!E$21+'Ekonomiskā analīze'!E$11*'Jutīguma analīze_EA'!$B28</f>
        <v>30679.226498667598</v>
      </c>
      <c r="G28" s="515">
        <f>'Ekonomiskā analīze'!F$21+'Ekonomiskā analīze'!F$11*'Jutīguma analīze_EA'!$B28</f>
        <v>50677.889571627231</v>
      </c>
      <c r="H28" s="515">
        <f>'Ekonomiskā analīze'!G$21+'Ekonomiskā analīze'!G$11*'Jutīguma analīze_EA'!$B28</f>
        <v>85701.979434267341</v>
      </c>
      <c r="I28" s="515">
        <f>'Ekonomiskā analīze'!H$21+'Ekonomiskā analīze'!H$11*'Jutīguma analīze_EA'!$B28</f>
        <v>116354.5270936905</v>
      </c>
      <c r="J28" s="515">
        <f>'Ekonomiskā analīze'!I$21+'Ekonomiskā analīze'!I$11*'Jutīguma analīze_EA'!$B28</f>
        <v>151959.39514814902</v>
      </c>
      <c r="K28" s="515">
        <f>'Ekonomiskā analīze'!J$21+'Ekonomiskā analīze'!J$11*'Jutīguma analīze_EA'!$B28</f>
        <v>158624.77389773264</v>
      </c>
      <c r="L28" s="515">
        <f>'Ekonomiskā analīze'!K$21+'Ekonomiskā analīze'!K$11*'Jutīguma analīze_EA'!$B28</f>
        <v>161282.35782214711</v>
      </c>
      <c r="M28" s="515">
        <f>'Ekonomiskā analīze'!L$21+'Ekonomiskā analīze'!L$11*'Jutīguma analīze_EA'!$B28</f>
        <v>161268.50383214443</v>
      </c>
      <c r="N28" s="515">
        <f>'Ekonomiskā analīze'!M$21+'Ekonomiskā analīze'!M$11*'Jutīguma analīze_EA'!$B28</f>
        <v>161608.49339255734</v>
      </c>
      <c r="O28" s="515">
        <f>'Ekonomiskā analīze'!N$21+'Ekonomiskā analīze'!N$11*'Jutīguma analīze_EA'!$B28</f>
        <v>161417.01499085961</v>
      </c>
      <c r="P28" s="515">
        <f>'Ekonomiskā analīze'!O$21+'Ekonomiskā analīze'!O$11*'Jutīguma analīze_EA'!$B28</f>
        <v>159561.69115969937</v>
      </c>
      <c r="Q28" s="515">
        <f>'Ekonomiskā analīze'!P$21+'Ekonomiskā analīze'!P$11*'Jutīguma analīze_EA'!$B28</f>
        <v>162991.42312023824</v>
      </c>
      <c r="R28" s="515">
        <f>'Ekonomiskā analīze'!Q$21+'Ekonomiskā analīze'!Q$11*'Jutīguma analīze_EA'!$B28</f>
        <v>169231.20060373805</v>
      </c>
      <c r="S28" s="515">
        <f>'Ekonomiskā analīze'!R$21+'Ekonomiskā analīze'!R$11*'Jutīguma analīze_EA'!$B28</f>
        <v>196906.6870045035</v>
      </c>
      <c r="T28" s="515">
        <f>'Ekonomiskā analīze'!S$21+'Ekonomiskā analīze'!S$11*'Jutīguma analīze_EA'!$B28</f>
        <v>205665.43172690494</v>
      </c>
      <c r="U28" s="515">
        <f>'Ekonomiskā analīze'!T$21+'Ekonomiskā analīze'!T$11*'Jutīguma analīze_EA'!$B28</f>
        <v>204655.07247479315</v>
      </c>
      <c r="V28" s="515">
        <f>'Ekonomiskā analīze'!U$21+'Ekonomiskā analīze'!U$11*'Jutīguma analīze_EA'!$B28</f>
        <v>208889.10944473275</v>
      </c>
      <c r="W28" s="515">
        <f>'Ekonomiskā analīze'!V$21+'Ekonomiskā analīze'!V$11*'Jutīguma analīze_EA'!$B28</f>
        <v>220132.01307106475</v>
      </c>
      <c r="X28" s="515">
        <f>'Ekonomiskā analīze'!W$21+'Ekonomiskā analīze'!W$11*'Jutīguma analīze_EA'!$B28</f>
        <v>224319.7064905882</v>
      </c>
      <c r="Y28" s="515">
        <f>'Ekonomiskā analīze'!X$21+'Ekonomiskā analīze'!X$11*'Jutīguma analīze_EA'!$B28</f>
        <v>231408.95846615106</v>
      </c>
      <c r="Z28" s="515">
        <f>'Ekonomiskā analīze'!Y$21+'Ekonomiskā analīze'!Y$11*'Jutīguma analīze_EA'!$B28</f>
        <v>235596.65188567503</v>
      </c>
      <c r="AA28" s="515">
        <f>'Ekonomiskā analīze'!Z$21+'Ekonomiskā analīze'!Z$11*'Jutīguma analīze_EA'!$B28</f>
        <v>239408.14894584185</v>
      </c>
      <c r="AB28" s="515">
        <f>'Ekonomiskā analīze'!AA$21+'Ekonomiskā analīze'!AA$11*'Jutīguma analīze_EA'!$B28</f>
        <v>243960.03735596457</v>
      </c>
      <c r="AC28" s="515">
        <f>'Ekonomiskā analīze'!AB$21+'Ekonomiskā analīze'!AB$11*'Jutīguma analīze_EA'!$B28</f>
        <v>245828.48648291314</v>
      </c>
      <c r="AD28" s="515">
        <f>'Ekonomiskā analīze'!AC$21+'Ekonomiskā analīze'!AC$11*'Jutīguma analīze_EA'!$B28</f>
        <v>216205.25591074937</v>
      </c>
      <c r="AE28" s="515">
        <f>'Ekonomiskā analīze'!AD$21+'Ekonomiskā analīze'!AD$11*'Jutīguma analīze_EA'!$B28</f>
        <v>151949.39137478656</v>
      </c>
      <c r="AF28" s="515">
        <f>'Ekonomiskā analīze'!AE$21+'Ekonomiskā analīze'!AE$11*'Jutīguma analīze_EA'!$B28</f>
        <v>153024.92477409006</v>
      </c>
      <c r="AG28" s="515">
        <f>'Ekonomiskā analīze'!AF$21+'Ekonomiskā analīze'!AF$11*'Jutīguma analīze_EA'!$B28</f>
        <v>146113.57088269095</v>
      </c>
      <c r="AH28" s="515">
        <f>'Ekonomiskā analīze'!AG$21+'Ekonomiskā analīze'!AG$11*'Jutīguma analīze_EA'!$B28</f>
        <v>697634.32370331895</v>
      </c>
      <c r="AI28" s="515">
        <f>'Ekonomiskā analīze'!AH$21+'Ekonomiskā analīze'!AH$11*'Jutīguma analīze_EA'!$B28</f>
        <v>151877.07652394686</v>
      </c>
    </row>
    <row r="29" spans="1:35" ht="12.75" x14ac:dyDescent="0.2">
      <c r="A29" s="794"/>
      <c r="B29" s="115">
        <v>2.5000000000000001E-2</v>
      </c>
      <c r="C29" s="515">
        <f>'Ekonomiskā analīze'!B$21+'Ekonomiskā analīze'!B$11*'Jutīguma analīze_EA'!$B29</f>
        <v>-591813.79999999993</v>
      </c>
      <c r="D29" s="515">
        <f>'Ekonomiskā analīze'!C$21+'Ekonomiskā analīze'!C$11*'Jutīguma analīze_EA'!$B29</f>
        <v>-329600.46999999997</v>
      </c>
      <c r="E29" s="515">
        <f>'Ekonomiskā analīze'!D$21+'Ekonomiskā analīze'!D$11*'Jutīguma analīze_EA'!$B29</f>
        <v>-502745</v>
      </c>
      <c r="F29" s="515">
        <f>'Ekonomiskā analīze'!E$21+'Ekonomiskā analīze'!E$11*'Jutīguma analīze_EA'!$B29</f>
        <v>30198.047150067559</v>
      </c>
      <c r="G29" s="515">
        <f>'Ekonomiskā analīze'!F$21+'Ekonomiskā analīze'!F$11*'Jutīguma analīze_EA'!$B29</f>
        <v>50200.725865878841</v>
      </c>
      <c r="H29" s="515">
        <f>'Ekonomiskā analīze'!G$21+'Ekonomiskā analīze'!G$11*'Jutīguma analīze_EA'!$B29</f>
        <v>85214.357732430173</v>
      </c>
      <c r="I29" s="515">
        <f>'Ekonomiskā analīze'!H$21+'Ekonomiskā analīze'!H$11*'Jutīguma analīze_EA'!$B29</f>
        <v>115868.80827361289</v>
      </c>
      <c r="J29" s="515">
        <f>'Ekonomiskā analīze'!I$21+'Ekonomiskā analīze'!I$11*'Jutīguma analīze_EA'!$B29</f>
        <v>151483.78563051618</v>
      </c>
      <c r="K29" s="515">
        <f>'Ekonomiskā analīze'!J$21+'Ekonomiskā analīze'!J$11*'Jutīguma analīze_EA'!$B29</f>
        <v>158046.43959361743</v>
      </c>
      <c r="L29" s="515">
        <f>'Ekonomiskā analīze'!K$21+'Ekonomiskā analīze'!K$11*'Jutīguma analīze_EA'!$B29</f>
        <v>160696.72241786311</v>
      </c>
      <c r="M29" s="515">
        <f>'Ekonomiskā analīze'!L$21+'Ekonomiskā analīze'!L$11*'Jutīguma analīze_EA'!$B29</f>
        <v>160687.50125226664</v>
      </c>
      <c r="N29" s="515">
        <f>'Ekonomiskā analīze'!M$21+'Ekonomiskā analīze'!M$11*'Jutīguma analīze_EA'!$B29</f>
        <v>161023.45232778578</v>
      </c>
      <c r="O29" s="515">
        <f>'Ekonomiskā analīze'!N$21+'Ekonomiskā analīze'!N$11*'Jutīguma analīze_EA'!$B29</f>
        <v>160836.64603450792</v>
      </c>
      <c r="P29" s="515">
        <f>'Ekonomiskā analīze'!O$21+'Ekonomiskā analīze'!O$11*'Jutīguma analīze_EA'!$B29</f>
        <v>159104.77584724428</v>
      </c>
      <c r="Q29" s="515">
        <f>'Ekonomiskā analīze'!P$21+'Ekonomiskā analīze'!P$11*'Jutīguma analīze_EA'!$B29</f>
        <v>162536.56312147991</v>
      </c>
      <c r="R29" s="515">
        <f>'Ekonomiskā analīze'!Q$21+'Ekonomiskā analīze'!Q$11*'Jutīguma analīze_EA'!$B29</f>
        <v>168709.02544427654</v>
      </c>
      <c r="S29" s="515">
        <f>'Ekonomiskā analīze'!R$21+'Ekonomiskā analīze'!R$11*'Jutīguma analīze_EA'!$B29</f>
        <v>196425.43973097004</v>
      </c>
      <c r="T29" s="515">
        <f>'Ekonomiskā analīze'!S$21+'Ekonomiskā analīze'!S$11*'Jutīguma analīze_EA'!$B29</f>
        <v>205076.13395660449</v>
      </c>
      <c r="U29" s="515">
        <f>'Ekonomiskā analīze'!T$21+'Ekonomiskā analīze'!T$11*'Jutīguma analīze_EA'!$B29</f>
        <v>204184.16034986681</v>
      </c>
      <c r="V29" s="515">
        <f>'Ekonomiskā analīze'!U$21+'Ekonomiskā analīze'!U$11*'Jutīguma analīze_EA'!$B29</f>
        <v>208414.67394280314</v>
      </c>
      <c r="W29" s="515">
        <f>'Ekonomiskā analīze'!V$21+'Ekonomiskā analīze'!V$11*'Jutīguma analīze_EA'!$B29</f>
        <v>219665.99430603164</v>
      </c>
      <c r="X29" s="515">
        <f>'Ekonomiskā analīze'!W$21+'Ekonomiskā analīze'!W$11*'Jutīguma analīze_EA'!$B29</f>
        <v>223855.08565785183</v>
      </c>
      <c r="Y29" s="515">
        <f>'Ekonomiskā analīze'!X$21+'Ekonomiskā analīze'!X$11*'Jutīguma analīze_EA'!$B29</f>
        <v>230876.40437532516</v>
      </c>
      <c r="Z29" s="515">
        <f>'Ekonomiskā analīze'!Y$21+'Ekonomiskā analīze'!Y$11*'Jutīguma analīze_EA'!$B29</f>
        <v>235065.49572714584</v>
      </c>
      <c r="AA29" s="515">
        <f>'Ekonomiskā analīze'!Z$21+'Ekonomiskā analīze'!Z$11*'Jutīguma analīze_EA'!$B29</f>
        <v>238887.10131292304</v>
      </c>
      <c r="AB29" s="515">
        <f>'Ekonomiskā analīze'!AA$21+'Ekonomiskā analīze'!AA$11*'Jutīguma analīze_EA'!$B29</f>
        <v>243431.71634604249</v>
      </c>
      <c r="AC29" s="515">
        <f>'Ekonomiskā analīze'!AB$21+'Ekonomiskā analīze'!AB$11*'Jutīguma analīze_EA'!$B29</f>
        <v>245304.86530457647</v>
      </c>
      <c r="AD29" s="515">
        <f>'Ekonomiskā analīze'!AC$21+'Ekonomiskā analīze'!AC$11*'Jutīguma analīze_EA'!$B29</f>
        <v>215622.09721017187</v>
      </c>
      <c r="AE29" s="515">
        <f>'Ekonomiskā analīze'!AD$21+'Ekonomiskā analīze'!AD$11*'Jutīguma analīze_EA'!$B29</f>
        <v>150999.91244090986</v>
      </c>
      <c r="AF29" s="515">
        <f>'Ekonomiskā analīze'!AE$21+'Ekonomiskā analīze'!AE$11*'Jutīguma analīze_EA'!$B29</f>
        <v>152078.3285319852</v>
      </c>
      <c r="AG29" s="515">
        <f>'Ekonomiskā analīze'!AF$21+'Ekonomiskā analīze'!AF$11*'Jutīguma analīze_EA'!$B29</f>
        <v>145395.87322251679</v>
      </c>
      <c r="AH29" s="515">
        <f>'Ekonomiskā analīze'!AG$21+'Ekonomiskā analīze'!AG$11*'Jutīguma analīze_EA'!$B29</f>
        <v>696919.00991490716</v>
      </c>
      <c r="AI29" s="515">
        <f>'Ekonomiskā analīze'!AH$21+'Ekonomiskā analīze'!AH$11*'Jutīguma analīze_EA'!$B29</f>
        <v>151164.14660729744</v>
      </c>
    </row>
    <row r="30" spans="1:35" ht="12.75" x14ac:dyDescent="0.2">
      <c r="A30" s="794"/>
      <c r="B30" s="115">
        <v>0.01</v>
      </c>
      <c r="C30" s="515">
        <f>'Ekonomiskā analīze'!B$21+'Ekonomiskā analīze'!B$11*'Jutīguma analīze_EA'!$B30</f>
        <v>-591813.79999999993</v>
      </c>
      <c r="D30" s="515">
        <f>'Ekonomiskā analīze'!C$21+'Ekonomiskā analīze'!C$11*'Jutīguma analīze_EA'!$B30</f>
        <v>-329600.46999999997</v>
      </c>
      <c r="E30" s="515">
        <f>'Ekonomiskā analīze'!D$21+'Ekonomiskā analīze'!D$11*'Jutīguma analīze_EA'!$B30</f>
        <v>-502745</v>
      </c>
      <c r="F30" s="515">
        <f>'Ekonomiskā analīze'!E$21+'Ekonomiskā analīze'!E$11*'Jutīguma analīze_EA'!$B30</f>
        <v>29909.339540907538</v>
      </c>
      <c r="G30" s="515">
        <f>'Ekonomiskā analīze'!F$21+'Ekonomiskā analīze'!F$11*'Jutīguma analīze_EA'!$B30</f>
        <v>49914.4276424298</v>
      </c>
      <c r="H30" s="515">
        <f>'Ekonomiskā analīze'!G$21+'Ekonomiskā analīze'!G$11*'Jutīguma analīze_EA'!$B30</f>
        <v>84921.784711327869</v>
      </c>
      <c r="I30" s="515">
        <f>'Ekonomiskā analīze'!H$21+'Ekonomiskā analīze'!H$11*'Jutīguma analīze_EA'!$B30</f>
        <v>115577.37698156631</v>
      </c>
      <c r="J30" s="515">
        <f>'Ekonomiskā analīze'!I$21+'Ekonomiskā analīze'!I$11*'Jutīguma analīze_EA'!$B30</f>
        <v>151198.41991993651</v>
      </c>
      <c r="K30" s="515">
        <f>'Ekonomiskā analīze'!J$21+'Ekonomiskā analīze'!J$11*'Jutīguma analīze_EA'!$B30</f>
        <v>157699.43901114832</v>
      </c>
      <c r="L30" s="515">
        <f>'Ekonomiskā analīze'!K$21+'Ekonomiskā analīze'!K$11*'Jutīguma analīze_EA'!$B30</f>
        <v>160345.34117529271</v>
      </c>
      <c r="M30" s="515">
        <f>'Ekonomiskā analīze'!L$21+'Ekonomiskā analīze'!L$11*'Jutīguma analīze_EA'!$B30</f>
        <v>160338.89970433997</v>
      </c>
      <c r="N30" s="515">
        <f>'Ekonomiskā analīze'!M$21+'Ekonomiskā analīze'!M$11*'Jutīguma analīze_EA'!$B30</f>
        <v>160672.42768892285</v>
      </c>
      <c r="O30" s="515">
        <f>'Ekonomiskā analīze'!N$21+'Ekonomiskā analīze'!N$11*'Jutīguma analīze_EA'!$B30</f>
        <v>160488.42466069691</v>
      </c>
      <c r="P30" s="515">
        <f>'Ekonomiskā analīze'!O$21+'Ekonomiskā analīze'!O$11*'Jutīguma analīze_EA'!$B30</f>
        <v>158830.62665977125</v>
      </c>
      <c r="Q30" s="515">
        <f>'Ekonomiskā analīze'!P$21+'Ekonomiskā analīze'!P$11*'Jutīguma analīze_EA'!$B30</f>
        <v>162263.64712222491</v>
      </c>
      <c r="R30" s="515">
        <f>'Ekonomiskā analīze'!Q$21+'Ekonomiskā analīze'!Q$11*'Jutīguma analīze_EA'!$B30</f>
        <v>168395.72034859963</v>
      </c>
      <c r="S30" s="515">
        <f>'Ekonomiskā analīze'!R$21+'Ekonomiskā analīze'!R$11*'Jutīguma analīze_EA'!$B30</f>
        <v>196136.69136684996</v>
      </c>
      <c r="T30" s="515">
        <f>'Ekonomiskā analīze'!S$21+'Ekonomiskā analīze'!S$11*'Jutīguma analīze_EA'!$B30</f>
        <v>204722.55529442424</v>
      </c>
      <c r="U30" s="515">
        <f>'Ekonomiskā analīze'!T$21+'Ekonomiskā analīze'!T$11*'Jutīguma analīze_EA'!$B30</f>
        <v>203901.61307491097</v>
      </c>
      <c r="V30" s="515">
        <f>'Ekonomiskā analīze'!U$21+'Ekonomiskā analīze'!U$11*'Jutīguma analīze_EA'!$B30</f>
        <v>208130.01264164536</v>
      </c>
      <c r="W30" s="515">
        <f>'Ekonomiskā analīze'!V$21+'Ekonomiskā analīze'!V$11*'Jutīguma analīze_EA'!$B30</f>
        <v>219386.38304701177</v>
      </c>
      <c r="X30" s="515">
        <f>'Ekonomiskā analīze'!W$21+'Ekonomiskā analīze'!W$11*'Jutīguma analīze_EA'!$B30</f>
        <v>223576.31315821002</v>
      </c>
      <c r="Y30" s="515">
        <f>'Ekonomiskā analīze'!X$21+'Ekonomiskā analīze'!X$11*'Jutīguma analīze_EA'!$B30</f>
        <v>230556.87192082961</v>
      </c>
      <c r="Z30" s="515">
        <f>'Ekonomiskā analīze'!Y$21+'Ekonomiskā analīze'!Y$11*'Jutīguma analīze_EA'!$B30</f>
        <v>234746.80203202832</v>
      </c>
      <c r="AA30" s="515">
        <f>'Ekonomiskā analīze'!Z$21+'Ekonomiskā analīze'!Z$11*'Jutīguma analīze_EA'!$B30</f>
        <v>238574.47273317174</v>
      </c>
      <c r="AB30" s="515">
        <f>'Ekonomiskā analīze'!AA$21+'Ekonomiskā analīze'!AA$11*'Jutīguma analīze_EA'!$B30</f>
        <v>243114.72374008922</v>
      </c>
      <c r="AC30" s="515">
        <f>'Ekonomiskā analīze'!AB$21+'Ekonomiskā analīze'!AB$11*'Jutīguma analīze_EA'!$B30</f>
        <v>244990.6925975745</v>
      </c>
      <c r="AD30" s="515">
        <f>'Ekonomiskā analīze'!AC$21+'Ekonomiskā analīze'!AC$11*'Jutīguma analīze_EA'!$B30</f>
        <v>215272.20198982535</v>
      </c>
      <c r="AE30" s="515">
        <f>'Ekonomiskā analīze'!AD$21+'Ekonomiskā analīze'!AD$11*'Jutīguma analīze_EA'!$B30</f>
        <v>150430.22508058383</v>
      </c>
      <c r="AF30" s="515">
        <f>'Ekonomiskā analīze'!AE$21+'Ekonomiskā analīze'!AE$11*'Jutīguma analīze_EA'!$B30</f>
        <v>151510.37078672228</v>
      </c>
      <c r="AG30" s="515">
        <f>'Ekonomiskā analīze'!AF$21+'Ekonomiskā analīze'!AF$11*'Jutīguma analīze_EA'!$B30</f>
        <v>144965.25462641229</v>
      </c>
      <c r="AH30" s="515">
        <f>'Ekonomiskā analīze'!AG$21+'Ekonomiskā analīze'!AG$11*'Jutīguma analīze_EA'!$B30</f>
        <v>696489.82164186006</v>
      </c>
      <c r="AI30" s="515">
        <f>'Ekonomiskā analīze'!AH$21+'Ekonomiskā analīze'!AH$11*'Jutīguma analīze_EA'!$B30</f>
        <v>150736.38865730781</v>
      </c>
    </row>
    <row r="31" spans="1:35" s="509" customFormat="1" ht="12.75" x14ac:dyDescent="0.2">
      <c r="A31" s="794"/>
      <c r="B31" s="116">
        <v>0</v>
      </c>
      <c r="C31" s="583">
        <f>'Ekonomiskā analīze'!B$21+'Ekonomiskā analīze'!B$11*'Jutīguma analīze_EA'!$B31</f>
        <v>-591813.79999999993</v>
      </c>
      <c r="D31" s="583">
        <f>'Ekonomiskā analīze'!C$21+'Ekonomiskā analīze'!C$11*'Jutīguma analīze_EA'!$B31</f>
        <v>-329600.46999999997</v>
      </c>
      <c r="E31" s="583">
        <f>'Ekonomiskā analīze'!D$21+'Ekonomiskā analīze'!D$11*'Jutīguma analīze_EA'!$B31</f>
        <v>-502745</v>
      </c>
      <c r="F31" s="583">
        <f>'Ekonomiskā analīze'!E$21+'Ekonomiskā analīze'!E$11*'Jutīguma analīze_EA'!$B31</f>
        <v>29716.867801467524</v>
      </c>
      <c r="G31" s="583">
        <f>'Ekonomiskā analīze'!F$21+'Ekonomiskā analīze'!F$11*'Jutīguma analīze_EA'!$B31</f>
        <v>49723.562160130445</v>
      </c>
      <c r="H31" s="583">
        <f>'Ekonomiskā analīze'!G$21+'Ekonomiskā analīze'!G$11*'Jutīguma analīze_EA'!$B31</f>
        <v>84726.736030593005</v>
      </c>
      <c r="I31" s="583">
        <f>'Ekonomiskā analīze'!H$21+'Ekonomiskā analīze'!H$11*'Jutīguma analīze_EA'!$B31</f>
        <v>115383.08945353526</v>
      </c>
      <c r="J31" s="583">
        <f>'Ekonomiskā analīze'!I$21+'Ekonomiskā analīze'!I$11*'Jutīguma analīze_EA'!$B31</f>
        <v>151008.17611288338</v>
      </c>
      <c r="K31" s="583">
        <f>'Ekonomiskā analīze'!J$21+'Ekonomiskā analīze'!J$11*'Jutīguma analīze_EA'!$B31</f>
        <v>157468.10528950224</v>
      </c>
      <c r="L31" s="583">
        <f>'Ekonomiskā analīze'!K$21+'Ekonomiskā analīze'!K$11*'Jutīguma analīze_EA'!$B31</f>
        <v>160111.08701357909</v>
      </c>
      <c r="M31" s="583">
        <f>'Ekonomiskā analīze'!L$21+'Ekonomiskā analīze'!L$11*'Jutīguma analīze_EA'!$B31</f>
        <v>160106.49867238884</v>
      </c>
      <c r="N31" s="583">
        <f>'Ekonomiskā analīze'!M$21+'Ekonomiskā analīze'!M$11*'Jutīguma analīze_EA'!$B31</f>
        <v>160438.41126301422</v>
      </c>
      <c r="O31" s="583">
        <f>'Ekonomiskā analīze'!N$21+'Ekonomiskā analīze'!N$11*'Jutīguma analīze_EA'!$B31</f>
        <v>160256.27707815624</v>
      </c>
      <c r="P31" s="583">
        <f>'Ekonomiskā analīze'!O$21+'Ekonomiskā analīze'!O$11*'Jutīguma analīze_EA'!$B31</f>
        <v>158647.86053478922</v>
      </c>
      <c r="Q31" s="583">
        <f>'Ekonomiskā analīze'!P$21+'Ekonomiskā analīze'!P$11*'Jutīguma analīze_EA'!$B31</f>
        <v>162081.70312272158</v>
      </c>
      <c r="R31" s="583">
        <f>'Ekonomiskā analīze'!Q$21+'Ekonomiskā analīze'!Q$11*'Jutīguma analīze_EA'!$B31</f>
        <v>168186.85028481504</v>
      </c>
      <c r="S31" s="583">
        <f>'Ekonomiskā analīze'!R$21+'Ekonomiskā analīze'!R$11*'Jutīguma analīze_EA'!$B31</f>
        <v>195944.19245743658</v>
      </c>
      <c r="T31" s="583">
        <f>'Ekonomiskā analīze'!S$21+'Ekonomiskā analīze'!S$11*'Jutīguma analīze_EA'!$B31</f>
        <v>204486.83618630408</v>
      </c>
      <c r="U31" s="583">
        <f>'Ekonomiskā analīze'!T$21+'Ekonomiskā analīze'!T$11*'Jutīguma analīze_EA'!$B31</f>
        <v>203713.24822494044</v>
      </c>
      <c r="V31" s="583">
        <f>'Ekonomiskā analīze'!U$21+'Ekonomiskā analīze'!U$11*'Jutīguma analīze_EA'!$B31</f>
        <v>207940.23844087351</v>
      </c>
      <c r="W31" s="583">
        <f>'Ekonomiskā analīze'!V$21+'Ekonomiskā analīze'!V$11*'Jutīguma analīze_EA'!$B31</f>
        <v>219199.97554099854</v>
      </c>
      <c r="X31" s="583">
        <f>'Ekonomiskā analīze'!W$21+'Ekonomiskā analīze'!W$11*'Jutīguma analīze_EA'!$B31</f>
        <v>223390.46482511546</v>
      </c>
      <c r="Y31" s="583">
        <f>'Ekonomiskā analīze'!X$21+'Ekonomiskā analīze'!X$11*'Jutīguma analīze_EA'!$B31</f>
        <v>230343.85028449923</v>
      </c>
      <c r="Z31" s="583">
        <f>'Ekonomiskā analīze'!Y$21+'Ekonomiskā analīze'!Y$11*'Jutīguma analīze_EA'!$B31</f>
        <v>234534.33956861665</v>
      </c>
      <c r="AA31" s="583">
        <f>'Ekonomiskā analīze'!Z$21+'Ekonomiskā analīze'!Z$11*'Jutīguma analīze_EA'!$B31</f>
        <v>238366.0536800042</v>
      </c>
      <c r="AB31" s="583">
        <f>'Ekonomiskā analīze'!AA$21+'Ekonomiskā analīze'!AA$11*'Jutīguma analīze_EA'!$B31</f>
        <v>242903.39533612039</v>
      </c>
      <c r="AC31" s="583">
        <f>'Ekonomiskā analīze'!AB$21+'Ekonomiskā analīze'!AB$11*'Jutīguma analīze_EA'!$B31</f>
        <v>244781.24412623982</v>
      </c>
      <c r="AD31" s="583">
        <f>'Ekonomiskā analīze'!AC$21+'Ekonomiskā analīze'!AC$11*'Jutīguma analīze_EA'!$B31</f>
        <v>215038.93850959436</v>
      </c>
      <c r="AE31" s="583">
        <f>'Ekonomiskā analīze'!AD$21+'Ekonomiskā analīze'!AD$11*'Jutīguma analīze_EA'!$B31</f>
        <v>150050.43350703316</v>
      </c>
      <c r="AF31" s="583">
        <f>'Ekonomiskā analīze'!AE$21+'Ekonomiskā analīze'!AE$11*'Jutīguma analīze_EA'!$B31</f>
        <v>151131.73228988034</v>
      </c>
      <c r="AG31" s="583">
        <f>'Ekonomiskā analīze'!AF$21+'Ekonomiskā analīze'!AF$11*'Jutīguma analīze_EA'!$B31</f>
        <v>144678.17556234263</v>
      </c>
      <c r="AH31" s="583">
        <f>'Ekonomiskā analīze'!AG$21+'Ekonomiskā analīze'!AG$11*'Jutīguma analīze_EA'!$B31</f>
        <v>696203.69612649537</v>
      </c>
      <c r="AI31" s="583">
        <f>'Ekonomiskā analīze'!AH$21+'Ekonomiskā analīze'!AH$11*'Jutīguma analīze_EA'!$B31</f>
        <v>150451.21669064806</v>
      </c>
    </row>
    <row r="32" spans="1:35" ht="12.75" x14ac:dyDescent="0.2">
      <c r="A32" s="794"/>
      <c r="B32" s="115">
        <v>-0.01</v>
      </c>
      <c r="C32" s="515">
        <f>'Ekonomiskā analīze'!B$21+'Ekonomiskā analīze'!B$11*'Jutīguma analīze_EA'!$B32</f>
        <v>-591813.79999999993</v>
      </c>
      <c r="D32" s="515">
        <f>'Ekonomiskā analīze'!C$21+'Ekonomiskā analīze'!C$11*'Jutīguma analīze_EA'!$B32</f>
        <v>-329600.46999999997</v>
      </c>
      <c r="E32" s="515">
        <f>'Ekonomiskā analīze'!D$21+'Ekonomiskā analīze'!D$11*'Jutīguma analīze_EA'!$B32</f>
        <v>-502745</v>
      </c>
      <c r="F32" s="515">
        <f>'Ekonomiskā analīze'!E$21+'Ekonomiskā analīze'!E$11*'Jutīguma analīze_EA'!$B32</f>
        <v>29524.39606202751</v>
      </c>
      <c r="G32" s="515">
        <f>'Ekonomiskā analīze'!F$21+'Ekonomiskā analīze'!F$11*'Jutīguma analīze_EA'!$B32</f>
        <v>49532.696677831089</v>
      </c>
      <c r="H32" s="515">
        <f>'Ekonomiskā analīze'!G$21+'Ekonomiskā analīze'!G$11*'Jutīguma analīze_EA'!$B32</f>
        <v>84531.687349858141</v>
      </c>
      <c r="I32" s="515">
        <f>'Ekonomiskā analīze'!H$21+'Ekonomiskā analīze'!H$11*'Jutīguma analīze_EA'!$B32</f>
        <v>115188.8019255042</v>
      </c>
      <c r="J32" s="515">
        <f>'Ekonomiskā analīze'!I$21+'Ekonomiskā analīze'!I$11*'Jutīguma analīze_EA'!$B32</f>
        <v>150817.93230583024</v>
      </c>
      <c r="K32" s="515">
        <f>'Ekonomiskā analīze'!J$21+'Ekonomiskā analīze'!J$11*'Jutīguma analīze_EA'!$B32</f>
        <v>157236.77156785617</v>
      </c>
      <c r="L32" s="515">
        <f>'Ekonomiskā analīze'!K$21+'Ekonomiskā analīze'!K$11*'Jutīguma analīze_EA'!$B32</f>
        <v>159876.83285186547</v>
      </c>
      <c r="M32" s="515">
        <f>'Ekonomiskā analīze'!L$21+'Ekonomiskā analīze'!L$11*'Jutīguma analīze_EA'!$B32</f>
        <v>159874.09764043771</v>
      </c>
      <c r="N32" s="515">
        <f>'Ekonomiskā analīze'!M$21+'Ekonomiskā analīze'!M$11*'Jutīguma analīze_EA'!$B32</f>
        <v>160204.39483710559</v>
      </c>
      <c r="O32" s="515">
        <f>'Ekonomiskā analīze'!N$21+'Ekonomiskā analīze'!N$11*'Jutīguma analīze_EA'!$B32</f>
        <v>160024.12949561558</v>
      </c>
      <c r="P32" s="515">
        <f>'Ekonomiskā analīze'!O$21+'Ekonomiskā analīze'!O$11*'Jutīguma analīze_EA'!$B32</f>
        <v>158465.09440980718</v>
      </c>
      <c r="Q32" s="515">
        <f>'Ekonomiskā analīze'!P$21+'Ekonomiskā analīze'!P$11*'Jutīguma analīze_EA'!$B32</f>
        <v>161899.75912321825</v>
      </c>
      <c r="R32" s="515">
        <f>'Ekonomiskā analīze'!Q$21+'Ekonomiskā analīze'!Q$11*'Jutīguma analīze_EA'!$B32</f>
        <v>167977.98022103045</v>
      </c>
      <c r="S32" s="515">
        <f>'Ekonomiskā analīze'!R$21+'Ekonomiskā analīze'!R$11*'Jutīguma analīze_EA'!$B32</f>
        <v>195751.69354802321</v>
      </c>
      <c r="T32" s="515">
        <f>'Ekonomiskā analīze'!S$21+'Ekonomiskā analīze'!S$11*'Jutīguma analīze_EA'!$B32</f>
        <v>204251.11707818392</v>
      </c>
      <c r="U32" s="515">
        <f>'Ekonomiskā analīze'!T$21+'Ekonomiskā analīze'!T$11*'Jutīguma analīze_EA'!$B32</f>
        <v>203524.88337496991</v>
      </c>
      <c r="V32" s="515">
        <f>'Ekonomiskā analīze'!U$21+'Ekonomiskā analīze'!U$11*'Jutīguma analīze_EA'!$B32</f>
        <v>207750.46424010166</v>
      </c>
      <c r="W32" s="515">
        <f>'Ekonomiskā analīze'!V$21+'Ekonomiskā analīze'!V$11*'Jutīguma analīze_EA'!$B32</f>
        <v>219013.56803498531</v>
      </c>
      <c r="X32" s="515">
        <f>'Ekonomiskā analīze'!W$21+'Ekonomiskā analīze'!W$11*'Jutīguma analīze_EA'!$B32</f>
        <v>223204.6164920209</v>
      </c>
      <c r="Y32" s="515">
        <f>'Ekonomiskā analīze'!X$21+'Ekonomiskā analīze'!X$11*'Jutīguma analīze_EA'!$B32</f>
        <v>230130.82864816886</v>
      </c>
      <c r="Z32" s="515">
        <f>'Ekonomiskā analīze'!Y$21+'Ekonomiskā analīze'!Y$11*'Jutīguma analīze_EA'!$B32</f>
        <v>234321.87710520497</v>
      </c>
      <c r="AA32" s="515">
        <f>'Ekonomiskā analīze'!Z$21+'Ekonomiskā analīze'!Z$11*'Jutīguma analīze_EA'!$B32</f>
        <v>238157.63462683666</v>
      </c>
      <c r="AB32" s="515">
        <f>'Ekonomiskā analīze'!AA$21+'Ekonomiskā analīze'!AA$11*'Jutīguma analīze_EA'!$B32</f>
        <v>242692.06693215156</v>
      </c>
      <c r="AC32" s="515">
        <f>'Ekonomiskā analīze'!AB$21+'Ekonomiskā analīze'!AB$11*'Jutīguma analīze_EA'!$B32</f>
        <v>244571.79565490515</v>
      </c>
      <c r="AD32" s="515">
        <f>'Ekonomiskā analīze'!AC$21+'Ekonomiskā analīze'!AC$11*'Jutīguma analīze_EA'!$B32</f>
        <v>214805.67502936337</v>
      </c>
      <c r="AE32" s="515">
        <f>'Ekonomiskā analīze'!AD$21+'Ekonomiskā analīze'!AD$11*'Jutīguma analīze_EA'!$B32</f>
        <v>149670.64193348249</v>
      </c>
      <c r="AF32" s="515">
        <f>'Ekonomiskā analīze'!AE$21+'Ekonomiskā analīze'!AE$11*'Jutīguma analīze_EA'!$B32</f>
        <v>150753.0937930384</v>
      </c>
      <c r="AG32" s="515">
        <f>'Ekonomiskā analīze'!AF$21+'Ekonomiskā analīze'!AF$11*'Jutīguma analīze_EA'!$B32</f>
        <v>144391.09649827296</v>
      </c>
      <c r="AH32" s="515">
        <f>'Ekonomiskā analīze'!AG$21+'Ekonomiskā analīze'!AG$11*'Jutīguma analīze_EA'!$B32</f>
        <v>695917.57061113068</v>
      </c>
      <c r="AI32" s="515">
        <f>'Ekonomiskā analīze'!AH$21+'Ekonomiskā analīze'!AH$11*'Jutīguma analīze_EA'!$B32</f>
        <v>150166.04472398831</v>
      </c>
    </row>
    <row r="33" spans="1:35" ht="12.75" x14ac:dyDescent="0.2">
      <c r="A33" s="794"/>
      <c r="B33" s="115">
        <v>-2.5000000000000001E-2</v>
      </c>
      <c r="C33" s="515">
        <f>'Ekonomiskā analīze'!B$21+'Ekonomiskā analīze'!B$11*'Jutīguma analīze_EA'!$B33</f>
        <v>-591813.79999999993</v>
      </c>
      <c r="D33" s="515">
        <f>'Ekonomiskā analīze'!C$21+'Ekonomiskā analīze'!C$11*'Jutīguma analīze_EA'!$B33</f>
        <v>-329600.46999999997</v>
      </c>
      <c r="E33" s="515">
        <f>'Ekonomiskā analīze'!D$21+'Ekonomiskā analīze'!D$11*'Jutīguma analīze_EA'!$B33</f>
        <v>-502745</v>
      </c>
      <c r="F33" s="515">
        <f>'Ekonomiskā analīze'!E$21+'Ekonomiskā analīze'!E$11*'Jutīguma analīze_EA'!$B33</f>
        <v>29235.688452867489</v>
      </c>
      <c r="G33" s="515">
        <f>'Ekonomiskā analīze'!F$21+'Ekonomiskā analīze'!F$11*'Jutīguma analīze_EA'!$B33</f>
        <v>49246.398454382048</v>
      </c>
      <c r="H33" s="515">
        <f>'Ekonomiskā analīze'!G$21+'Ekonomiskā analīze'!G$11*'Jutīguma analīze_EA'!$B33</f>
        <v>84239.114328755837</v>
      </c>
      <c r="I33" s="515">
        <f>'Ekonomiskā analīze'!H$21+'Ekonomiskā analīze'!H$11*'Jutīguma analīze_EA'!$B33</f>
        <v>114897.37063345763</v>
      </c>
      <c r="J33" s="515">
        <f>'Ekonomiskā analīze'!I$21+'Ekonomiskā analīze'!I$11*'Jutīguma analīze_EA'!$B33</f>
        <v>150532.56659525057</v>
      </c>
      <c r="K33" s="515">
        <f>'Ekonomiskā analīze'!J$21+'Ekonomiskā analīze'!J$11*'Jutīguma analīze_EA'!$B33</f>
        <v>156889.77098538706</v>
      </c>
      <c r="L33" s="515">
        <f>'Ekonomiskā analīze'!K$21+'Ekonomiskā analīze'!K$11*'Jutīguma analīze_EA'!$B33</f>
        <v>159525.45160929507</v>
      </c>
      <c r="M33" s="515">
        <f>'Ekonomiskā analīze'!L$21+'Ekonomiskā analīze'!L$11*'Jutīguma analīze_EA'!$B33</f>
        <v>159525.49609251105</v>
      </c>
      <c r="N33" s="515">
        <f>'Ekonomiskā analīze'!M$21+'Ekonomiskā analīze'!M$11*'Jutīguma analīze_EA'!$B33</f>
        <v>159853.37019824266</v>
      </c>
      <c r="O33" s="515">
        <f>'Ekonomiskā analīze'!N$21+'Ekonomiskā analīze'!N$11*'Jutīguma analīze_EA'!$B33</f>
        <v>159675.90812180456</v>
      </c>
      <c r="P33" s="515">
        <f>'Ekonomiskā analīze'!O$21+'Ekonomiskā analīze'!O$11*'Jutīguma analīze_EA'!$B33</f>
        <v>158190.94522233415</v>
      </c>
      <c r="Q33" s="515">
        <f>'Ekonomiskā analīze'!P$21+'Ekonomiskā analīze'!P$11*'Jutīguma analīze_EA'!$B33</f>
        <v>161626.84312396325</v>
      </c>
      <c r="R33" s="515">
        <f>'Ekonomiskā analīze'!Q$21+'Ekonomiskā analīze'!Q$11*'Jutīguma analīze_EA'!$B33</f>
        <v>167664.67512535353</v>
      </c>
      <c r="S33" s="515">
        <f>'Ekonomiskā analīze'!R$21+'Ekonomiskā analīze'!R$11*'Jutīguma analīze_EA'!$B33</f>
        <v>195462.94518390312</v>
      </c>
      <c r="T33" s="515">
        <f>'Ekonomiskā analīze'!S$21+'Ekonomiskā analīze'!S$11*'Jutīguma analīze_EA'!$B33</f>
        <v>203897.53841600366</v>
      </c>
      <c r="U33" s="515">
        <f>'Ekonomiskā analīze'!T$21+'Ekonomiskā analīze'!T$11*'Jutīguma analīze_EA'!$B33</f>
        <v>203242.33610001407</v>
      </c>
      <c r="V33" s="515">
        <f>'Ekonomiskā analīze'!U$21+'Ekonomiskā analīze'!U$11*'Jutīguma analīze_EA'!$B33</f>
        <v>207465.80293894387</v>
      </c>
      <c r="W33" s="515">
        <f>'Ekonomiskā analīze'!V$21+'Ekonomiskā analīze'!V$11*'Jutīguma analīze_EA'!$B33</f>
        <v>218733.95677596543</v>
      </c>
      <c r="X33" s="515">
        <f>'Ekonomiskā analīze'!W$21+'Ekonomiskā analīze'!W$11*'Jutīguma analīze_EA'!$B33</f>
        <v>222925.84399237909</v>
      </c>
      <c r="Y33" s="515">
        <f>'Ekonomiskā analīze'!X$21+'Ekonomiskā analīze'!X$11*'Jutīguma analīze_EA'!$B33</f>
        <v>229811.2961936733</v>
      </c>
      <c r="Z33" s="515">
        <f>'Ekonomiskā analīze'!Y$21+'Ekonomiskā analīze'!Y$11*'Jutīguma analīze_EA'!$B33</f>
        <v>234003.18341008745</v>
      </c>
      <c r="AA33" s="515">
        <f>'Ekonomiskā analīze'!Z$21+'Ekonomiskā analīze'!Z$11*'Jutīguma analīze_EA'!$B33</f>
        <v>237845.00604708536</v>
      </c>
      <c r="AB33" s="515">
        <f>'Ekonomiskā analīze'!AA$21+'Ekonomiskā analīze'!AA$11*'Jutīguma analīze_EA'!$B33</f>
        <v>242375.07432619829</v>
      </c>
      <c r="AC33" s="515">
        <f>'Ekonomiskā analīze'!AB$21+'Ekonomiskā analīze'!AB$11*'Jutīguma analīze_EA'!$B33</f>
        <v>244257.62294790318</v>
      </c>
      <c r="AD33" s="515">
        <f>'Ekonomiskā analīze'!AC$21+'Ekonomiskā analīze'!AC$11*'Jutīguma analīze_EA'!$B33</f>
        <v>214455.77980901685</v>
      </c>
      <c r="AE33" s="515">
        <f>'Ekonomiskā analīze'!AD$21+'Ekonomiskā analīze'!AD$11*'Jutīguma analīze_EA'!$B33</f>
        <v>149100.95457315646</v>
      </c>
      <c r="AF33" s="515">
        <f>'Ekonomiskā analīze'!AE$21+'Ekonomiskā analīze'!AE$11*'Jutīguma analīze_EA'!$B33</f>
        <v>150185.13604777548</v>
      </c>
      <c r="AG33" s="515">
        <f>'Ekonomiskā analīze'!AF$21+'Ekonomiskā analīze'!AF$11*'Jutīguma analīze_EA'!$B33</f>
        <v>143960.47790216847</v>
      </c>
      <c r="AH33" s="515">
        <f>'Ekonomiskā analīze'!AG$21+'Ekonomiskā analīze'!AG$11*'Jutīguma analīze_EA'!$B33</f>
        <v>695488.38233808358</v>
      </c>
      <c r="AI33" s="515">
        <f>'Ekonomiskā analīze'!AH$21+'Ekonomiskā analīze'!AH$11*'Jutīguma analīze_EA'!$B33</f>
        <v>149738.28677399867</v>
      </c>
    </row>
    <row r="34" spans="1:35" ht="12.75" x14ac:dyDescent="0.2">
      <c r="A34" s="794"/>
      <c r="B34" s="115">
        <v>-0.05</v>
      </c>
      <c r="C34" s="515">
        <f>'Ekonomiskā analīze'!B$21+'Ekonomiskā analīze'!B$11*'Jutīguma analīze_EA'!$B34</f>
        <v>-591813.79999999993</v>
      </c>
      <c r="D34" s="515">
        <f>'Ekonomiskā analīze'!C$21+'Ekonomiskā analīze'!C$11*'Jutīguma analīze_EA'!$B34</f>
        <v>-329600.46999999997</v>
      </c>
      <c r="E34" s="515">
        <f>'Ekonomiskā analīze'!D$21+'Ekonomiskā analīze'!D$11*'Jutīguma analīze_EA'!$B34</f>
        <v>-502745</v>
      </c>
      <c r="F34" s="515">
        <f>'Ekonomiskā analīze'!E$21+'Ekonomiskā analīze'!E$11*'Jutīguma analīze_EA'!$B34</f>
        <v>28754.50910426745</v>
      </c>
      <c r="G34" s="515">
        <f>'Ekonomiskā analīze'!F$21+'Ekonomiskā analīze'!F$11*'Jutīguma analīze_EA'!$B34</f>
        <v>48769.234748633658</v>
      </c>
      <c r="H34" s="515">
        <f>'Ekonomiskā analīze'!G$21+'Ekonomiskā analīze'!G$11*'Jutīguma analīze_EA'!$B34</f>
        <v>83751.492626918669</v>
      </c>
      <c r="I34" s="515">
        <f>'Ekonomiskā analīze'!H$21+'Ekonomiskā analīze'!H$11*'Jutīguma analīze_EA'!$B34</f>
        <v>114411.65181338001</v>
      </c>
      <c r="J34" s="515">
        <f>'Ekonomiskā analīze'!I$21+'Ekonomiskā analīze'!I$11*'Jutīguma analīze_EA'!$B34</f>
        <v>150056.95707761773</v>
      </c>
      <c r="K34" s="515">
        <f>'Ekonomiskā analīze'!J$21+'Ekonomiskā analīze'!J$11*'Jutīguma analīze_EA'!$B34</f>
        <v>156311.43668127185</v>
      </c>
      <c r="L34" s="515">
        <f>'Ekonomiskā analīze'!K$21+'Ekonomiskā analīze'!K$11*'Jutīguma analīze_EA'!$B34</f>
        <v>158939.81620501107</v>
      </c>
      <c r="M34" s="515">
        <f>'Ekonomiskā analīze'!L$21+'Ekonomiskā analīze'!L$11*'Jutīguma analīze_EA'!$B34</f>
        <v>158944.49351263326</v>
      </c>
      <c r="N34" s="515">
        <f>'Ekonomiskā analīze'!M$21+'Ekonomiskā analīze'!M$11*'Jutīguma analīze_EA'!$B34</f>
        <v>159268.3291334711</v>
      </c>
      <c r="O34" s="515">
        <f>'Ekonomiskā analīze'!N$21+'Ekonomiskā analīze'!N$11*'Jutīguma analīze_EA'!$B34</f>
        <v>159095.53916545288</v>
      </c>
      <c r="P34" s="515">
        <f>'Ekonomiskā analīze'!O$21+'Ekonomiskā analīze'!O$11*'Jutīguma analīze_EA'!$B34</f>
        <v>157734.02990987906</v>
      </c>
      <c r="Q34" s="515">
        <f>'Ekonomiskā analīze'!P$21+'Ekonomiskā analīze'!P$11*'Jutīguma analīze_EA'!$B34</f>
        <v>161171.98312520492</v>
      </c>
      <c r="R34" s="515">
        <f>'Ekonomiskā analīze'!Q$21+'Ekonomiskā analīze'!Q$11*'Jutīguma analīze_EA'!$B34</f>
        <v>167142.49996589203</v>
      </c>
      <c r="S34" s="515">
        <f>'Ekonomiskā analīze'!R$21+'Ekonomiskā analīze'!R$11*'Jutīguma analīze_EA'!$B34</f>
        <v>194981.69791036966</v>
      </c>
      <c r="T34" s="515">
        <f>'Ekonomiskā analīze'!S$21+'Ekonomiskā analīze'!S$11*'Jutīguma analīze_EA'!$B34</f>
        <v>203308.24064570322</v>
      </c>
      <c r="U34" s="515">
        <f>'Ekonomiskā analīze'!T$21+'Ekonomiskā analīze'!T$11*'Jutīguma analīze_EA'!$B34</f>
        <v>202771.42397508773</v>
      </c>
      <c r="V34" s="515">
        <f>'Ekonomiskā analīze'!U$21+'Ekonomiskā analīze'!U$11*'Jutīguma analīze_EA'!$B34</f>
        <v>206991.36743701427</v>
      </c>
      <c r="W34" s="515">
        <f>'Ekonomiskā analīze'!V$21+'Ekonomiskā analīze'!V$11*'Jutīguma analīze_EA'!$B34</f>
        <v>218267.93801093232</v>
      </c>
      <c r="X34" s="515">
        <f>'Ekonomiskā analīze'!W$21+'Ekonomiskā analīze'!W$11*'Jutīguma analīze_EA'!$B34</f>
        <v>222461.22315964272</v>
      </c>
      <c r="Y34" s="515">
        <f>'Ekonomiskā analīze'!X$21+'Ekonomiskā analīze'!X$11*'Jutīguma analīze_EA'!$B34</f>
        <v>229278.74210284741</v>
      </c>
      <c r="Z34" s="515">
        <f>'Ekonomiskā analīze'!Y$21+'Ekonomiskā analīze'!Y$11*'Jutīguma analīze_EA'!$B34</f>
        <v>233472.02725155826</v>
      </c>
      <c r="AA34" s="515">
        <f>'Ekonomiskā analīze'!Z$21+'Ekonomiskā analīze'!Z$11*'Jutīguma analīze_EA'!$B34</f>
        <v>237323.95841416655</v>
      </c>
      <c r="AB34" s="515">
        <f>'Ekonomiskā analīze'!AA$21+'Ekonomiskā analīze'!AA$11*'Jutīguma analīze_EA'!$B34</f>
        <v>241846.75331627621</v>
      </c>
      <c r="AC34" s="515">
        <f>'Ekonomiskā analīze'!AB$21+'Ekonomiskā analīze'!AB$11*'Jutīguma analīze_EA'!$B34</f>
        <v>243734.0017695665</v>
      </c>
      <c r="AD34" s="515">
        <f>'Ekonomiskā analīze'!AC$21+'Ekonomiskā analīze'!AC$11*'Jutīguma analīze_EA'!$B34</f>
        <v>213872.62110843934</v>
      </c>
      <c r="AE34" s="515">
        <f>'Ekonomiskā analīze'!AD$21+'Ekonomiskā analīze'!AD$11*'Jutīguma analīze_EA'!$B34</f>
        <v>148151.47563927976</v>
      </c>
      <c r="AF34" s="515">
        <f>'Ekonomiskā analīze'!AE$21+'Ekonomiskā analīze'!AE$11*'Jutīguma analīze_EA'!$B34</f>
        <v>149238.53980567062</v>
      </c>
      <c r="AG34" s="515">
        <f>'Ekonomiskā analīze'!AF$21+'Ekonomiskā analīze'!AF$11*'Jutīguma analīze_EA'!$B34</f>
        <v>143242.7802419943</v>
      </c>
      <c r="AH34" s="515">
        <f>'Ekonomiskā analīze'!AG$21+'Ekonomiskā analīze'!AG$11*'Jutīguma analīze_EA'!$B34</f>
        <v>694773.06854967179</v>
      </c>
      <c r="AI34" s="515">
        <f>'Ekonomiskā analīze'!AH$21+'Ekonomiskā analīze'!AH$11*'Jutīguma analīze_EA'!$B34</f>
        <v>149025.35685734925</v>
      </c>
    </row>
    <row r="35" spans="1:35" ht="12.75" x14ac:dyDescent="0.2">
      <c r="A35" s="794"/>
      <c r="B35" s="115">
        <v>-7.4999999999999997E-2</v>
      </c>
      <c r="C35" s="515">
        <f>'Ekonomiskā analīze'!B$21+'Ekonomiskā analīze'!B$11*'Jutīguma analīze_EA'!$B35</f>
        <v>-591813.79999999993</v>
      </c>
      <c r="D35" s="515">
        <f>'Ekonomiskā analīze'!C$21+'Ekonomiskā analīze'!C$11*'Jutīguma analīze_EA'!$B35</f>
        <v>-329600.46999999997</v>
      </c>
      <c r="E35" s="515">
        <f>'Ekonomiskā analīze'!D$21+'Ekonomiskā analīze'!D$11*'Jutīguma analīze_EA'!$B35</f>
        <v>-502745</v>
      </c>
      <c r="F35" s="515">
        <f>'Ekonomiskā analīze'!E$21+'Ekonomiskā analīze'!E$11*'Jutīguma analīze_EA'!$B35</f>
        <v>28273.329755667415</v>
      </c>
      <c r="G35" s="515">
        <f>'Ekonomiskā analīze'!F$21+'Ekonomiskā analīze'!F$11*'Jutīguma analīze_EA'!$B35</f>
        <v>48292.071042885262</v>
      </c>
      <c r="H35" s="515">
        <f>'Ekonomiskā analīze'!G$21+'Ekonomiskā analīze'!G$11*'Jutīguma analīze_EA'!$B35</f>
        <v>83263.870925081501</v>
      </c>
      <c r="I35" s="515">
        <f>'Ekonomiskā analīze'!H$21+'Ekonomiskā analīze'!H$11*'Jutīguma analīze_EA'!$B35</f>
        <v>113925.93299330238</v>
      </c>
      <c r="J35" s="515">
        <f>'Ekonomiskā analīze'!I$21+'Ekonomiskā analīze'!I$11*'Jutīguma analīze_EA'!$B35</f>
        <v>149581.34755998492</v>
      </c>
      <c r="K35" s="515">
        <f>'Ekonomiskā analīze'!J$21+'Ekonomiskā analīze'!J$11*'Jutīguma analīze_EA'!$B35</f>
        <v>155733.10237715667</v>
      </c>
      <c r="L35" s="515">
        <f>'Ekonomiskā analīze'!K$21+'Ekonomiskā analīze'!K$11*'Jutīguma analīze_EA'!$B35</f>
        <v>158354.18080072704</v>
      </c>
      <c r="M35" s="515">
        <f>'Ekonomiskā analīze'!L$21+'Ekonomiskā analīze'!L$11*'Jutīguma analīze_EA'!$B35</f>
        <v>158363.49093275546</v>
      </c>
      <c r="N35" s="515">
        <f>'Ekonomiskā analīze'!M$21+'Ekonomiskā analīze'!M$11*'Jutīguma analīze_EA'!$B35</f>
        <v>158683.28806869953</v>
      </c>
      <c r="O35" s="515">
        <f>'Ekonomiskā analīze'!N$21+'Ekonomiskā analīze'!N$11*'Jutīguma analīze_EA'!$B35</f>
        <v>158515.17020910117</v>
      </c>
      <c r="P35" s="515">
        <f>'Ekonomiskā analīze'!O$21+'Ekonomiskā analīze'!O$11*'Jutīguma analīze_EA'!$B35</f>
        <v>157277.11459742399</v>
      </c>
      <c r="Q35" s="515">
        <f>'Ekonomiskā analīze'!P$21+'Ekonomiskā analīze'!P$11*'Jutīguma analīze_EA'!$B35</f>
        <v>160717.12312644659</v>
      </c>
      <c r="R35" s="515">
        <f>'Ekonomiskā analīze'!Q$21+'Ekonomiskā analīze'!Q$11*'Jutīguma analīze_EA'!$B35</f>
        <v>166620.32480643052</v>
      </c>
      <c r="S35" s="515">
        <f>'Ekonomiskā analīze'!R$21+'Ekonomiskā analīze'!R$11*'Jutīguma analīze_EA'!$B35</f>
        <v>194500.45063683618</v>
      </c>
      <c r="T35" s="515">
        <f>'Ekonomiskā analīze'!S$21+'Ekonomiskā analīze'!S$11*'Jutīguma analīze_EA'!$B35</f>
        <v>202718.9428754028</v>
      </c>
      <c r="U35" s="515">
        <f>'Ekonomiskā analīze'!T$21+'Ekonomiskā analīze'!T$11*'Jutīguma analīze_EA'!$B35</f>
        <v>202300.51185016136</v>
      </c>
      <c r="V35" s="515">
        <f>'Ekonomiskā analīze'!U$21+'Ekonomiskā analīze'!U$11*'Jutīguma analīze_EA'!$B35</f>
        <v>206516.93193508463</v>
      </c>
      <c r="W35" s="515">
        <f>'Ekonomiskā analīze'!V$21+'Ekonomiskā analīze'!V$11*'Jutīguma analīze_EA'!$B35</f>
        <v>217801.91924589922</v>
      </c>
      <c r="X35" s="515">
        <f>'Ekonomiskā analīze'!W$21+'Ekonomiskā analīze'!W$11*'Jutīguma analīze_EA'!$B35</f>
        <v>221996.60232690632</v>
      </c>
      <c r="Y35" s="515">
        <f>'Ekonomiskā analīze'!X$21+'Ekonomiskā analīze'!X$11*'Jutīguma analīze_EA'!$B35</f>
        <v>228746.18801202148</v>
      </c>
      <c r="Z35" s="515">
        <f>'Ekonomiskā analīze'!Y$21+'Ekonomiskā analīze'!Y$11*'Jutīguma analīze_EA'!$B35</f>
        <v>232940.87109302904</v>
      </c>
      <c r="AA35" s="515">
        <f>'Ekonomiskā analīze'!Z$21+'Ekonomiskā analīze'!Z$11*'Jutīguma analīze_EA'!$B35</f>
        <v>236802.91078124772</v>
      </c>
      <c r="AB35" s="515">
        <f>'Ekonomiskā analīze'!AA$21+'Ekonomiskā analīze'!AA$11*'Jutīguma analīze_EA'!$B35</f>
        <v>241318.43230635411</v>
      </c>
      <c r="AC35" s="515">
        <f>'Ekonomiskā analīze'!AB$21+'Ekonomiskā analīze'!AB$11*'Jutīguma analīze_EA'!$B35</f>
        <v>243210.38059122986</v>
      </c>
      <c r="AD35" s="515">
        <f>'Ekonomiskā analīze'!AC$21+'Ekonomiskā analīze'!AC$11*'Jutīguma analīze_EA'!$B35</f>
        <v>213289.46240786184</v>
      </c>
      <c r="AE35" s="515">
        <f>'Ekonomiskā analīze'!AD$21+'Ekonomiskā analīze'!AD$11*'Jutīguma analīze_EA'!$B35</f>
        <v>147201.99670540306</v>
      </c>
      <c r="AF35" s="515">
        <f>'Ekonomiskā analīze'!AE$21+'Ekonomiskā analīze'!AE$11*'Jutīguma analīze_EA'!$B35</f>
        <v>148291.94356356576</v>
      </c>
      <c r="AG35" s="515">
        <f>'Ekonomiskā analīze'!AF$21+'Ekonomiskā analīze'!AF$11*'Jutīguma analīze_EA'!$B35</f>
        <v>142525.08258182017</v>
      </c>
      <c r="AH35" s="515">
        <f>'Ekonomiskā analīze'!AG$21+'Ekonomiskā analīze'!AG$11*'Jutīguma analīze_EA'!$B35</f>
        <v>694057.75476126</v>
      </c>
      <c r="AI35" s="515">
        <f>'Ekonomiskā analīze'!AH$21+'Ekonomiskā analīze'!AH$11*'Jutīguma analīze_EA'!$B35</f>
        <v>148312.42694069986</v>
      </c>
    </row>
    <row r="36" spans="1:35" ht="12.75" x14ac:dyDescent="0.2">
      <c r="A36" s="795"/>
      <c r="B36" s="115">
        <v>-0.1</v>
      </c>
      <c r="C36" s="515">
        <f>'Ekonomiskā analīze'!B$21+'Ekonomiskā analīze'!B$11*'Jutīguma analīze_EA'!$B36</f>
        <v>-591813.79999999993</v>
      </c>
      <c r="D36" s="515">
        <f>'Ekonomiskā analīze'!C$21+'Ekonomiskā analīze'!C$11*'Jutīguma analīze_EA'!$B36</f>
        <v>-329600.46999999997</v>
      </c>
      <c r="E36" s="515">
        <f>'Ekonomiskā analīze'!D$21+'Ekonomiskā analīze'!D$11*'Jutīguma analīze_EA'!$B36</f>
        <v>-502745</v>
      </c>
      <c r="F36" s="515">
        <f>'Ekonomiskā analīze'!E$21+'Ekonomiskā analīze'!E$11*'Jutīguma analīze_EA'!$B36</f>
        <v>27792.150407067376</v>
      </c>
      <c r="G36" s="515">
        <f>'Ekonomiskā analīze'!F$21+'Ekonomiskā analīze'!F$11*'Jutīguma analīze_EA'!$B36</f>
        <v>47814.907337136865</v>
      </c>
      <c r="H36" s="515">
        <f>'Ekonomiskā analīze'!G$21+'Ekonomiskā analīze'!G$11*'Jutīguma analīze_EA'!$B36</f>
        <v>82776.249223244333</v>
      </c>
      <c r="I36" s="515">
        <f>'Ekonomiskā analīze'!H$21+'Ekonomiskā analīze'!H$11*'Jutīguma analīze_EA'!$B36</f>
        <v>113440.21417322475</v>
      </c>
      <c r="J36" s="515">
        <f>'Ekonomiskā analīze'!I$21+'Ekonomiskā analīze'!I$11*'Jutīguma analīze_EA'!$B36</f>
        <v>149105.73804235211</v>
      </c>
      <c r="K36" s="515">
        <f>'Ekonomiskā analīze'!J$21+'Ekonomiskā analīze'!J$11*'Jutīguma analīze_EA'!$B36</f>
        <v>155154.76807304149</v>
      </c>
      <c r="L36" s="515">
        <f>'Ekonomiskā analīze'!K$21+'Ekonomiskā analīze'!K$11*'Jutīguma analīze_EA'!$B36</f>
        <v>157768.54539644302</v>
      </c>
      <c r="M36" s="515">
        <f>'Ekonomiskā analīze'!L$21+'Ekonomiskā analīze'!L$11*'Jutīguma analīze_EA'!$B36</f>
        <v>157782.48835287767</v>
      </c>
      <c r="N36" s="515">
        <f>'Ekonomiskā analīze'!M$21+'Ekonomiskā analīze'!M$11*'Jutīguma analīze_EA'!$B36</f>
        <v>158098.24700392797</v>
      </c>
      <c r="O36" s="515">
        <f>'Ekonomiskā analīze'!N$21+'Ekonomiskā analīze'!N$11*'Jutīguma analīze_EA'!$B36</f>
        <v>157934.80125274949</v>
      </c>
      <c r="P36" s="515">
        <f>'Ekonomiskā analīze'!O$21+'Ekonomiskā analīze'!O$11*'Jutīguma analīze_EA'!$B36</f>
        <v>156820.1992849689</v>
      </c>
      <c r="Q36" s="515">
        <f>'Ekonomiskā analīze'!P$21+'Ekonomiskā analīze'!P$11*'Jutīguma analīze_EA'!$B36</f>
        <v>160262.26312768826</v>
      </c>
      <c r="R36" s="515">
        <f>'Ekonomiskā analīze'!Q$21+'Ekonomiskā analīze'!Q$11*'Jutīguma analīze_EA'!$B36</f>
        <v>166098.14964696899</v>
      </c>
      <c r="S36" s="515">
        <f>'Ekonomiskā analīze'!R$21+'Ekonomiskā analīze'!R$11*'Jutīguma analīze_EA'!$B36</f>
        <v>194019.20336330272</v>
      </c>
      <c r="T36" s="515">
        <f>'Ekonomiskā analīze'!S$21+'Ekonomiskā analīze'!S$11*'Jutīguma analīze_EA'!$B36</f>
        <v>202129.64510510239</v>
      </c>
      <c r="U36" s="515">
        <f>'Ekonomiskā analīze'!T$21+'Ekonomiskā analīze'!T$11*'Jutīguma analīze_EA'!$B36</f>
        <v>201829.59972523502</v>
      </c>
      <c r="V36" s="515">
        <f>'Ekonomiskā analīze'!U$21+'Ekonomiskā analīze'!U$11*'Jutīguma analīze_EA'!$B36</f>
        <v>206042.496433155</v>
      </c>
      <c r="W36" s="515">
        <f>'Ekonomiskā analīze'!V$21+'Ekonomiskā analīze'!V$11*'Jutīguma analīze_EA'!$B36</f>
        <v>217335.90048086611</v>
      </c>
      <c r="X36" s="515">
        <f>'Ekonomiskā analīze'!W$21+'Ekonomiskā analīze'!W$11*'Jutīguma analīze_EA'!$B36</f>
        <v>221531.98149416994</v>
      </c>
      <c r="Y36" s="515">
        <f>'Ekonomiskā analīze'!X$21+'Ekonomiskā analīze'!X$11*'Jutīguma analīze_EA'!$B36</f>
        <v>228213.63392119555</v>
      </c>
      <c r="Z36" s="515">
        <f>'Ekonomiskā analīze'!Y$21+'Ekonomiskā analīze'!Y$11*'Jutīguma analīze_EA'!$B36</f>
        <v>232409.71493449985</v>
      </c>
      <c r="AA36" s="515">
        <f>'Ekonomiskā analīze'!Z$21+'Ekonomiskā analīze'!Z$11*'Jutīguma analīze_EA'!$B36</f>
        <v>236281.86314832888</v>
      </c>
      <c r="AB36" s="515">
        <f>'Ekonomiskā analīze'!AA$21+'Ekonomiskā analīze'!AA$11*'Jutīguma analīze_EA'!$B36</f>
        <v>240790.11129643203</v>
      </c>
      <c r="AC36" s="515">
        <f>'Ekonomiskā analīze'!AB$21+'Ekonomiskā analīze'!AB$11*'Jutīguma analīze_EA'!$B36</f>
        <v>242686.75941289321</v>
      </c>
      <c r="AD36" s="515">
        <f>'Ekonomiskā analīze'!AC$21+'Ekonomiskā analīze'!AC$11*'Jutīguma analīze_EA'!$B36</f>
        <v>212706.30370728433</v>
      </c>
      <c r="AE36" s="515">
        <f>'Ekonomiskā analīze'!AD$21+'Ekonomiskā analīze'!AD$11*'Jutīguma analīze_EA'!$B36</f>
        <v>146252.51777152636</v>
      </c>
      <c r="AF36" s="515">
        <f>'Ekonomiskā analīze'!AE$21+'Ekonomiskā analīze'!AE$11*'Jutīguma analīze_EA'!$B36</f>
        <v>147345.3473214609</v>
      </c>
      <c r="AG36" s="515">
        <f>'Ekonomiskā analīze'!AF$21+'Ekonomiskā analīze'!AF$11*'Jutīguma analīze_EA'!$B36</f>
        <v>141807.38492164601</v>
      </c>
      <c r="AH36" s="515">
        <f>'Ekonomiskā analīze'!AG$21+'Ekonomiskā analīze'!AG$11*'Jutīguma analīze_EA'!$B36</f>
        <v>693342.44097284821</v>
      </c>
      <c r="AI36" s="515">
        <f>'Ekonomiskā analīze'!AH$21+'Ekonomiskā analīze'!AH$11*'Jutīguma analīze_EA'!$B36</f>
        <v>147599.49702405045</v>
      </c>
    </row>
    <row r="37" spans="1:35" ht="12.75" x14ac:dyDescent="0.2">
      <c r="A37" s="504"/>
      <c r="B37" s="504"/>
      <c r="C37" s="504"/>
    </row>
    <row r="38" spans="1:35" ht="25.5" x14ac:dyDescent="0.2">
      <c r="A38" s="513"/>
      <c r="B38" s="514" t="s">
        <v>184</v>
      </c>
      <c r="C38" s="514">
        <f t="shared" ref="C38:AI38" si="1">C24</f>
        <v>2017</v>
      </c>
      <c r="D38" s="514">
        <f t="shared" si="1"/>
        <v>2018</v>
      </c>
      <c r="E38" s="514">
        <f t="shared" si="1"/>
        <v>2019</v>
      </c>
      <c r="F38" s="514">
        <f t="shared" si="1"/>
        <v>2020</v>
      </c>
      <c r="G38" s="514">
        <f t="shared" si="1"/>
        <v>2021</v>
      </c>
      <c r="H38" s="514">
        <f t="shared" si="1"/>
        <v>2022</v>
      </c>
      <c r="I38" s="514">
        <f t="shared" si="1"/>
        <v>2023</v>
      </c>
      <c r="J38" s="514">
        <f t="shared" si="1"/>
        <v>2024</v>
      </c>
      <c r="K38" s="514">
        <f t="shared" si="1"/>
        <v>2025</v>
      </c>
      <c r="L38" s="514">
        <f t="shared" si="1"/>
        <v>2026</v>
      </c>
      <c r="M38" s="514">
        <f t="shared" si="1"/>
        <v>2027</v>
      </c>
      <c r="N38" s="514">
        <f t="shared" si="1"/>
        <v>2028</v>
      </c>
      <c r="O38" s="514">
        <f t="shared" si="1"/>
        <v>2029</v>
      </c>
      <c r="P38" s="514">
        <f t="shared" si="1"/>
        <v>2030</v>
      </c>
      <c r="Q38" s="514">
        <f t="shared" si="1"/>
        <v>2031</v>
      </c>
      <c r="R38" s="514">
        <f t="shared" si="1"/>
        <v>2032</v>
      </c>
      <c r="S38" s="514">
        <f t="shared" si="1"/>
        <v>2033</v>
      </c>
      <c r="T38" s="514">
        <f t="shared" si="1"/>
        <v>2034</v>
      </c>
      <c r="U38" s="514">
        <f t="shared" si="1"/>
        <v>2035</v>
      </c>
      <c r="V38" s="514">
        <f t="shared" si="1"/>
        <v>2036</v>
      </c>
      <c r="W38" s="514">
        <f t="shared" si="1"/>
        <v>2037</v>
      </c>
      <c r="X38" s="514">
        <f t="shared" si="1"/>
        <v>2038</v>
      </c>
      <c r="Y38" s="514">
        <f t="shared" si="1"/>
        <v>2039</v>
      </c>
      <c r="Z38" s="514">
        <f t="shared" si="1"/>
        <v>2040</v>
      </c>
      <c r="AA38" s="514">
        <f t="shared" si="1"/>
        <v>2041</v>
      </c>
      <c r="AB38" s="514">
        <f t="shared" si="1"/>
        <v>2042</v>
      </c>
      <c r="AC38" s="514">
        <f t="shared" si="1"/>
        <v>2043</v>
      </c>
      <c r="AD38" s="514">
        <f t="shared" si="1"/>
        <v>2044</v>
      </c>
      <c r="AE38" s="514">
        <f t="shared" si="1"/>
        <v>2045</v>
      </c>
      <c r="AF38" s="514">
        <f t="shared" si="1"/>
        <v>2046</v>
      </c>
      <c r="AG38" s="514">
        <f t="shared" si="1"/>
        <v>2047</v>
      </c>
      <c r="AH38" s="514">
        <f t="shared" si="1"/>
        <v>2048</v>
      </c>
      <c r="AI38" s="514">
        <f t="shared" si="1"/>
        <v>2049</v>
      </c>
    </row>
    <row r="39" spans="1:35" ht="12.75" x14ac:dyDescent="0.2">
      <c r="A39" s="792" t="s">
        <v>144</v>
      </c>
      <c r="B39" s="777"/>
      <c r="C39" s="777"/>
      <c r="D39" s="777"/>
      <c r="E39" s="777"/>
      <c r="F39" s="777"/>
      <c r="G39" s="777"/>
      <c r="H39" s="777"/>
      <c r="I39" s="777"/>
      <c r="J39" s="777"/>
      <c r="K39" s="777"/>
      <c r="L39" s="777"/>
      <c r="M39" s="777"/>
      <c r="N39" s="777"/>
      <c r="O39" s="777"/>
      <c r="P39" s="777"/>
      <c r="Q39" s="777"/>
      <c r="R39" s="777"/>
      <c r="S39" s="777"/>
      <c r="T39" s="777"/>
      <c r="U39" s="777"/>
      <c r="V39" s="777"/>
      <c r="W39" s="777"/>
      <c r="X39" s="777"/>
      <c r="Y39" s="777"/>
      <c r="Z39" s="777"/>
      <c r="AA39" s="777"/>
      <c r="AB39" s="777"/>
      <c r="AC39" s="777"/>
      <c r="AD39" s="777"/>
      <c r="AE39" s="777"/>
      <c r="AF39" s="777"/>
      <c r="AG39" s="777"/>
      <c r="AH39" s="777"/>
      <c r="AI39" s="777"/>
    </row>
    <row r="40" spans="1:35" ht="12.75" x14ac:dyDescent="0.2">
      <c r="A40" s="793"/>
      <c r="B40" s="115">
        <v>0.1</v>
      </c>
      <c r="C40" s="515">
        <f>'Ekonomiskā analīze'!B$21+'Ekonomiskā analīze'!B$17*'Jutīguma analīze_EA'!$B40</f>
        <v>-591813.79999999993</v>
      </c>
      <c r="D40" s="515">
        <f>'Ekonomiskā analīze'!C$21+'Ekonomiskā analīze'!C$17*'Jutīguma analīze_EA'!$B40</f>
        <v>-326422.46999999997</v>
      </c>
      <c r="E40" s="515">
        <f>'Ekonomiskā analīze'!D$21+'Ekonomiskā analīze'!D$17*'Jutīguma analīze_EA'!$B40</f>
        <v>-499567</v>
      </c>
      <c r="F40" s="515">
        <f>'Ekonomiskā analīze'!E$21+'Ekonomiskā analīze'!E$17*'Jutīguma analīze_EA'!$B40</f>
        <v>29716.867801467524</v>
      </c>
      <c r="G40" s="515">
        <f>'Ekonomiskā analīze'!F$21+'Ekonomiskā analīze'!F$17*'Jutīguma analīze_EA'!$B40</f>
        <v>49723.562160130445</v>
      </c>
      <c r="H40" s="515">
        <f>'Ekonomiskā analīze'!G$21+'Ekonomiskā analīze'!G$17*'Jutīguma analīze_EA'!$B40</f>
        <v>84726.736030593005</v>
      </c>
      <c r="I40" s="515">
        <f>'Ekonomiskā analīze'!H$21+'Ekonomiskā analīze'!H$17*'Jutīguma analīze_EA'!$B40</f>
        <v>115383.08945353526</v>
      </c>
      <c r="J40" s="515">
        <f>'Ekonomiskā analīze'!I$21+'Ekonomiskā analīze'!I$17*'Jutīguma analīze_EA'!$B40</f>
        <v>151008.17611288338</v>
      </c>
      <c r="K40" s="515">
        <f>'Ekonomiskā analīze'!J$21+'Ekonomiskā analīze'!J$17*'Jutīguma analīze_EA'!$B40</f>
        <v>157468.10528950224</v>
      </c>
      <c r="L40" s="515">
        <f>'Ekonomiskā analīze'!K$21+'Ekonomiskā analīze'!K$17*'Jutīguma analīze_EA'!$B40</f>
        <v>160111.08701357909</v>
      </c>
      <c r="M40" s="515">
        <f>'Ekonomiskā analīze'!L$21+'Ekonomiskā analīze'!L$17*'Jutīguma analīze_EA'!$B40</f>
        <v>160106.49867238884</v>
      </c>
      <c r="N40" s="515">
        <f>'Ekonomiskā analīze'!M$21+'Ekonomiskā analīze'!M$17*'Jutīguma analīze_EA'!$B40</f>
        <v>160438.41126301422</v>
      </c>
      <c r="O40" s="515">
        <f>'Ekonomiskā analīze'!N$21+'Ekonomiskā analīze'!N$17*'Jutīguma analīze_EA'!$B40</f>
        <v>160256.27707815624</v>
      </c>
      <c r="P40" s="515">
        <f>'Ekonomiskā analīze'!O$21+'Ekonomiskā analīze'!O$17*'Jutīguma analīze_EA'!$B40</f>
        <v>158647.86053478922</v>
      </c>
      <c r="Q40" s="515">
        <f>'Ekonomiskā analīze'!P$21+'Ekonomiskā analīze'!P$17*'Jutīguma analīze_EA'!$B40</f>
        <v>162081.70312272158</v>
      </c>
      <c r="R40" s="515">
        <f>'Ekonomiskā analīze'!Q$21+'Ekonomiskā analīze'!Q$17*'Jutīguma analīze_EA'!$B40</f>
        <v>168186.85028481504</v>
      </c>
      <c r="S40" s="515">
        <f>'Ekonomiskā analīze'!R$21+'Ekonomiskā analīze'!R$17*'Jutīguma analīze_EA'!$B40</f>
        <v>195944.19245743658</v>
      </c>
      <c r="T40" s="515">
        <f>'Ekonomiskā analīze'!S$21+'Ekonomiskā analīze'!S$17*'Jutīguma analīze_EA'!$B40</f>
        <v>204486.83618630408</v>
      </c>
      <c r="U40" s="515">
        <f>'Ekonomiskā analīze'!T$21+'Ekonomiskā analīze'!T$17*'Jutīguma analīze_EA'!$B40</f>
        <v>203713.24822494044</v>
      </c>
      <c r="V40" s="515">
        <f>'Ekonomiskā analīze'!U$21+'Ekonomiskā analīze'!U$17*'Jutīguma analīze_EA'!$B40</f>
        <v>207940.23844087351</v>
      </c>
      <c r="W40" s="515">
        <f>'Ekonomiskā analīze'!V$21+'Ekonomiskā analīze'!V$17*'Jutīguma analīze_EA'!$B40</f>
        <v>219199.97554099854</v>
      </c>
      <c r="X40" s="515">
        <f>'Ekonomiskā analīze'!W$21+'Ekonomiskā analīze'!W$17*'Jutīguma analīze_EA'!$B40</f>
        <v>223390.46482511546</v>
      </c>
      <c r="Y40" s="515">
        <f>'Ekonomiskā analīze'!X$21+'Ekonomiskā analīze'!X$17*'Jutīguma analīze_EA'!$B40</f>
        <v>230343.85028449923</v>
      </c>
      <c r="Z40" s="515">
        <f>'Ekonomiskā analīze'!Y$21+'Ekonomiskā analīze'!Y$17*'Jutīguma analīze_EA'!$B40</f>
        <v>234534.33956861665</v>
      </c>
      <c r="AA40" s="515">
        <f>'Ekonomiskā analīze'!Z$21+'Ekonomiskā analīze'!Z$17*'Jutīguma analīze_EA'!$B40</f>
        <v>238366.0536800042</v>
      </c>
      <c r="AB40" s="515">
        <f>'Ekonomiskā analīze'!AA$21+'Ekonomiskā analīze'!AA$17*'Jutīguma analīze_EA'!$B40</f>
        <v>242903.39533612039</v>
      </c>
      <c r="AC40" s="515">
        <f>'Ekonomiskā analīze'!AB$21+'Ekonomiskā analīze'!AB$17*'Jutīguma analīze_EA'!$B40</f>
        <v>244781.24412623982</v>
      </c>
      <c r="AD40" s="515">
        <f>'Ekonomiskā analīze'!AC$21+'Ekonomiskā analīze'!AC$17*'Jutīguma analīze_EA'!$B40</f>
        <v>215038.93850959436</v>
      </c>
      <c r="AE40" s="515">
        <f>'Ekonomiskā analīze'!AD$21+'Ekonomiskā analīze'!AD$17*'Jutīguma analīze_EA'!$B40</f>
        <v>150050.43350703316</v>
      </c>
      <c r="AF40" s="515">
        <f>'Ekonomiskā analīze'!AE$21+'Ekonomiskā analīze'!AE$17*'Jutīguma analīze_EA'!$B40</f>
        <v>151131.73228988034</v>
      </c>
      <c r="AG40" s="515">
        <f>'Ekonomiskā analīze'!AF$21+'Ekonomiskā analīze'!AF$17*'Jutīguma analīze_EA'!$B40</f>
        <v>144678.17556234263</v>
      </c>
      <c r="AH40" s="515">
        <f>'Ekonomiskā analīze'!AG$21+'Ekonomiskā analīze'!AG$17*'Jutīguma analīze_EA'!$B40</f>
        <v>696203.69612649537</v>
      </c>
      <c r="AI40" s="515">
        <f>'Ekonomiskā analīze'!AH$21+'Ekonomiskā analīze'!AH$17*'Jutīguma analīze_EA'!$B40</f>
        <v>150451.21669064806</v>
      </c>
    </row>
    <row r="41" spans="1:35" ht="12.75" x14ac:dyDescent="0.2">
      <c r="A41" s="794"/>
      <c r="B41" s="115">
        <v>7.4999999999999997E-2</v>
      </c>
      <c r="C41" s="515">
        <f>'Ekonomiskā analīze'!B$21+'Ekonomiskā analīze'!B$17*'Jutīguma analīze_EA'!$B41</f>
        <v>-591813.79999999993</v>
      </c>
      <c r="D41" s="515">
        <f>'Ekonomiskā analīze'!C$21+'Ekonomiskā analīze'!C$17*'Jutīguma analīze_EA'!$B41</f>
        <v>-327216.96999999997</v>
      </c>
      <c r="E41" s="515">
        <f>'Ekonomiskā analīze'!D$21+'Ekonomiskā analīze'!D$17*'Jutīguma analīze_EA'!$B41</f>
        <v>-500361.5</v>
      </c>
      <c r="F41" s="515">
        <f>'Ekonomiskā analīze'!E$21+'Ekonomiskā analīze'!E$17*'Jutīguma analīze_EA'!$B41</f>
        <v>29716.867801467524</v>
      </c>
      <c r="G41" s="515">
        <f>'Ekonomiskā analīze'!F$21+'Ekonomiskā analīze'!F$17*'Jutīguma analīze_EA'!$B41</f>
        <v>49723.562160130445</v>
      </c>
      <c r="H41" s="515">
        <f>'Ekonomiskā analīze'!G$21+'Ekonomiskā analīze'!G$17*'Jutīguma analīze_EA'!$B41</f>
        <v>84726.736030593005</v>
      </c>
      <c r="I41" s="515">
        <f>'Ekonomiskā analīze'!H$21+'Ekonomiskā analīze'!H$17*'Jutīguma analīze_EA'!$B41</f>
        <v>115383.08945353526</v>
      </c>
      <c r="J41" s="515">
        <f>'Ekonomiskā analīze'!I$21+'Ekonomiskā analīze'!I$17*'Jutīguma analīze_EA'!$B41</f>
        <v>151008.17611288338</v>
      </c>
      <c r="K41" s="515">
        <f>'Ekonomiskā analīze'!J$21+'Ekonomiskā analīze'!J$17*'Jutīguma analīze_EA'!$B41</f>
        <v>157468.10528950224</v>
      </c>
      <c r="L41" s="515">
        <f>'Ekonomiskā analīze'!K$21+'Ekonomiskā analīze'!K$17*'Jutīguma analīze_EA'!$B41</f>
        <v>160111.08701357909</v>
      </c>
      <c r="M41" s="515">
        <f>'Ekonomiskā analīze'!L$21+'Ekonomiskā analīze'!L$17*'Jutīguma analīze_EA'!$B41</f>
        <v>160106.49867238884</v>
      </c>
      <c r="N41" s="515">
        <f>'Ekonomiskā analīze'!M$21+'Ekonomiskā analīze'!M$17*'Jutīguma analīze_EA'!$B41</f>
        <v>160438.41126301422</v>
      </c>
      <c r="O41" s="515">
        <f>'Ekonomiskā analīze'!N$21+'Ekonomiskā analīze'!N$17*'Jutīguma analīze_EA'!$B41</f>
        <v>160256.27707815624</v>
      </c>
      <c r="P41" s="515">
        <f>'Ekonomiskā analīze'!O$21+'Ekonomiskā analīze'!O$17*'Jutīguma analīze_EA'!$B41</f>
        <v>158647.86053478922</v>
      </c>
      <c r="Q41" s="515">
        <f>'Ekonomiskā analīze'!P$21+'Ekonomiskā analīze'!P$17*'Jutīguma analīze_EA'!$B41</f>
        <v>162081.70312272158</v>
      </c>
      <c r="R41" s="515">
        <f>'Ekonomiskā analīze'!Q$21+'Ekonomiskā analīze'!Q$17*'Jutīguma analīze_EA'!$B41</f>
        <v>168186.85028481504</v>
      </c>
      <c r="S41" s="515">
        <f>'Ekonomiskā analīze'!R$21+'Ekonomiskā analīze'!R$17*'Jutīguma analīze_EA'!$B41</f>
        <v>195944.19245743658</v>
      </c>
      <c r="T41" s="515">
        <f>'Ekonomiskā analīze'!S$21+'Ekonomiskā analīze'!S$17*'Jutīguma analīze_EA'!$B41</f>
        <v>204486.83618630408</v>
      </c>
      <c r="U41" s="515">
        <f>'Ekonomiskā analīze'!T$21+'Ekonomiskā analīze'!T$17*'Jutīguma analīze_EA'!$B41</f>
        <v>203713.24822494044</v>
      </c>
      <c r="V41" s="515">
        <f>'Ekonomiskā analīze'!U$21+'Ekonomiskā analīze'!U$17*'Jutīguma analīze_EA'!$B41</f>
        <v>207940.23844087351</v>
      </c>
      <c r="W41" s="515">
        <f>'Ekonomiskā analīze'!V$21+'Ekonomiskā analīze'!V$17*'Jutīguma analīze_EA'!$B41</f>
        <v>219199.97554099854</v>
      </c>
      <c r="X41" s="515">
        <f>'Ekonomiskā analīze'!W$21+'Ekonomiskā analīze'!W$17*'Jutīguma analīze_EA'!$B41</f>
        <v>223390.46482511546</v>
      </c>
      <c r="Y41" s="515">
        <f>'Ekonomiskā analīze'!X$21+'Ekonomiskā analīze'!X$17*'Jutīguma analīze_EA'!$B41</f>
        <v>230343.85028449923</v>
      </c>
      <c r="Z41" s="515">
        <f>'Ekonomiskā analīze'!Y$21+'Ekonomiskā analīze'!Y$17*'Jutīguma analīze_EA'!$B41</f>
        <v>234534.33956861665</v>
      </c>
      <c r="AA41" s="515">
        <f>'Ekonomiskā analīze'!Z$21+'Ekonomiskā analīze'!Z$17*'Jutīguma analīze_EA'!$B41</f>
        <v>238366.0536800042</v>
      </c>
      <c r="AB41" s="515">
        <f>'Ekonomiskā analīze'!AA$21+'Ekonomiskā analīze'!AA$17*'Jutīguma analīze_EA'!$B41</f>
        <v>242903.39533612039</v>
      </c>
      <c r="AC41" s="515">
        <f>'Ekonomiskā analīze'!AB$21+'Ekonomiskā analīze'!AB$17*'Jutīguma analīze_EA'!$B41</f>
        <v>244781.24412623982</v>
      </c>
      <c r="AD41" s="515">
        <f>'Ekonomiskā analīze'!AC$21+'Ekonomiskā analīze'!AC$17*'Jutīguma analīze_EA'!$B41</f>
        <v>215038.93850959436</v>
      </c>
      <c r="AE41" s="515">
        <f>'Ekonomiskā analīze'!AD$21+'Ekonomiskā analīze'!AD$17*'Jutīguma analīze_EA'!$B41</f>
        <v>150050.43350703316</v>
      </c>
      <c r="AF41" s="515">
        <f>'Ekonomiskā analīze'!AE$21+'Ekonomiskā analīze'!AE$17*'Jutīguma analīze_EA'!$B41</f>
        <v>151131.73228988034</v>
      </c>
      <c r="AG41" s="515">
        <f>'Ekonomiskā analīze'!AF$21+'Ekonomiskā analīze'!AF$17*'Jutīguma analīze_EA'!$B41</f>
        <v>144678.17556234263</v>
      </c>
      <c r="AH41" s="515">
        <f>'Ekonomiskā analīze'!AG$21+'Ekonomiskā analīze'!AG$17*'Jutīguma analīze_EA'!$B41</f>
        <v>696203.69612649537</v>
      </c>
      <c r="AI41" s="515">
        <f>'Ekonomiskā analīze'!AH$21+'Ekonomiskā analīze'!AH$17*'Jutīguma analīze_EA'!$B41</f>
        <v>150451.21669064806</v>
      </c>
    </row>
    <row r="42" spans="1:35" ht="12.75" x14ac:dyDescent="0.2">
      <c r="A42" s="794"/>
      <c r="B42" s="115">
        <v>0.05</v>
      </c>
      <c r="C42" s="515">
        <f>'Ekonomiskā analīze'!B$21+'Ekonomiskā analīze'!B$17*'Jutīguma analīze_EA'!$B42</f>
        <v>-591813.79999999993</v>
      </c>
      <c r="D42" s="515">
        <f>'Ekonomiskā analīze'!C$21+'Ekonomiskā analīze'!C$17*'Jutīguma analīze_EA'!$B42</f>
        <v>-328011.46999999997</v>
      </c>
      <c r="E42" s="515">
        <f>'Ekonomiskā analīze'!D$21+'Ekonomiskā analīze'!D$17*'Jutīguma analīze_EA'!$B42</f>
        <v>-501156</v>
      </c>
      <c r="F42" s="515">
        <f>'Ekonomiskā analīze'!E$21+'Ekonomiskā analīze'!E$17*'Jutīguma analīze_EA'!$B42</f>
        <v>29716.867801467524</v>
      </c>
      <c r="G42" s="515">
        <f>'Ekonomiskā analīze'!F$21+'Ekonomiskā analīze'!F$17*'Jutīguma analīze_EA'!$B42</f>
        <v>49723.562160130445</v>
      </c>
      <c r="H42" s="515">
        <f>'Ekonomiskā analīze'!G$21+'Ekonomiskā analīze'!G$17*'Jutīguma analīze_EA'!$B42</f>
        <v>84726.736030593005</v>
      </c>
      <c r="I42" s="515">
        <f>'Ekonomiskā analīze'!H$21+'Ekonomiskā analīze'!H$17*'Jutīguma analīze_EA'!$B42</f>
        <v>115383.08945353526</v>
      </c>
      <c r="J42" s="515">
        <f>'Ekonomiskā analīze'!I$21+'Ekonomiskā analīze'!I$17*'Jutīguma analīze_EA'!$B42</f>
        <v>151008.17611288338</v>
      </c>
      <c r="K42" s="515">
        <f>'Ekonomiskā analīze'!J$21+'Ekonomiskā analīze'!J$17*'Jutīguma analīze_EA'!$B42</f>
        <v>157468.10528950224</v>
      </c>
      <c r="L42" s="515">
        <f>'Ekonomiskā analīze'!K$21+'Ekonomiskā analīze'!K$17*'Jutīguma analīze_EA'!$B42</f>
        <v>160111.08701357909</v>
      </c>
      <c r="M42" s="515">
        <f>'Ekonomiskā analīze'!L$21+'Ekonomiskā analīze'!L$17*'Jutīguma analīze_EA'!$B42</f>
        <v>160106.49867238884</v>
      </c>
      <c r="N42" s="515">
        <f>'Ekonomiskā analīze'!M$21+'Ekonomiskā analīze'!M$17*'Jutīguma analīze_EA'!$B42</f>
        <v>160438.41126301422</v>
      </c>
      <c r="O42" s="515">
        <f>'Ekonomiskā analīze'!N$21+'Ekonomiskā analīze'!N$17*'Jutīguma analīze_EA'!$B42</f>
        <v>160256.27707815624</v>
      </c>
      <c r="P42" s="515">
        <f>'Ekonomiskā analīze'!O$21+'Ekonomiskā analīze'!O$17*'Jutīguma analīze_EA'!$B42</f>
        <v>158647.86053478922</v>
      </c>
      <c r="Q42" s="515">
        <f>'Ekonomiskā analīze'!P$21+'Ekonomiskā analīze'!P$17*'Jutīguma analīze_EA'!$B42</f>
        <v>162081.70312272158</v>
      </c>
      <c r="R42" s="515">
        <f>'Ekonomiskā analīze'!Q$21+'Ekonomiskā analīze'!Q$17*'Jutīguma analīze_EA'!$B42</f>
        <v>168186.85028481504</v>
      </c>
      <c r="S42" s="515">
        <f>'Ekonomiskā analīze'!R$21+'Ekonomiskā analīze'!R$17*'Jutīguma analīze_EA'!$B42</f>
        <v>195944.19245743658</v>
      </c>
      <c r="T42" s="515">
        <f>'Ekonomiskā analīze'!S$21+'Ekonomiskā analīze'!S$17*'Jutīguma analīze_EA'!$B42</f>
        <v>204486.83618630408</v>
      </c>
      <c r="U42" s="515">
        <f>'Ekonomiskā analīze'!T$21+'Ekonomiskā analīze'!T$17*'Jutīguma analīze_EA'!$B42</f>
        <v>203713.24822494044</v>
      </c>
      <c r="V42" s="515">
        <f>'Ekonomiskā analīze'!U$21+'Ekonomiskā analīze'!U$17*'Jutīguma analīze_EA'!$B42</f>
        <v>207940.23844087351</v>
      </c>
      <c r="W42" s="515">
        <f>'Ekonomiskā analīze'!V$21+'Ekonomiskā analīze'!V$17*'Jutīguma analīze_EA'!$B42</f>
        <v>219199.97554099854</v>
      </c>
      <c r="X42" s="515">
        <f>'Ekonomiskā analīze'!W$21+'Ekonomiskā analīze'!W$17*'Jutīguma analīze_EA'!$B42</f>
        <v>223390.46482511546</v>
      </c>
      <c r="Y42" s="515">
        <f>'Ekonomiskā analīze'!X$21+'Ekonomiskā analīze'!X$17*'Jutīguma analīze_EA'!$B42</f>
        <v>230343.85028449923</v>
      </c>
      <c r="Z42" s="515">
        <f>'Ekonomiskā analīze'!Y$21+'Ekonomiskā analīze'!Y$17*'Jutīguma analīze_EA'!$B42</f>
        <v>234534.33956861665</v>
      </c>
      <c r="AA42" s="515">
        <f>'Ekonomiskā analīze'!Z$21+'Ekonomiskā analīze'!Z$17*'Jutīguma analīze_EA'!$B42</f>
        <v>238366.0536800042</v>
      </c>
      <c r="AB42" s="515">
        <f>'Ekonomiskā analīze'!AA$21+'Ekonomiskā analīze'!AA$17*'Jutīguma analīze_EA'!$B42</f>
        <v>242903.39533612039</v>
      </c>
      <c r="AC42" s="515">
        <f>'Ekonomiskā analīze'!AB$21+'Ekonomiskā analīze'!AB$17*'Jutīguma analīze_EA'!$B42</f>
        <v>244781.24412623982</v>
      </c>
      <c r="AD42" s="515">
        <f>'Ekonomiskā analīze'!AC$21+'Ekonomiskā analīze'!AC$17*'Jutīguma analīze_EA'!$B42</f>
        <v>215038.93850959436</v>
      </c>
      <c r="AE42" s="515">
        <f>'Ekonomiskā analīze'!AD$21+'Ekonomiskā analīze'!AD$17*'Jutīguma analīze_EA'!$B42</f>
        <v>150050.43350703316</v>
      </c>
      <c r="AF42" s="515">
        <f>'Ekonomiskā analīze'!AE$21+'Ekonomiskā analīze'!AE$17*'Jutīguma analīze_EA'!$B42</f>
        <v>151131.73228988034</v>
      </c>
      <c r="AG42" s="515">
        <f>'Ekonomiskā analīze'!AF$21+'Ekonomiskā analīze'!AF$17*'Jutīguma analīze_EA'!$B42</f>
        <v>144678.17556234263</v>
      </c>
      <c r="AH42" s="515">
        <f>'Ekonomiskā analīze'!AG$21+'Ekonomiskā analīze'!AG$17*'Jutīguma analīze_EA'!$B42</f>
        <v>696203.69612649537</v>
      </c>
      <c r="AI42" s="515">
        <f>'Ekonomiskā analīze'!AH$21+'Ekonomiskā analīze'!AH$17*'Jutīguma analīze_EA'!$B42</f>
        <v>150451.21669064806</v>
      </c>
    </row>
    <row r="43" spans="1:35" ht="12.75" x14ac:dyDescent="0.2">
      <c r="A43" s="794"/>
      <c r="B43" s="115">
        <v>2.5000000000000001E-2</v>
      </c>
      <c r="C43" s="515">
        <f>'Ekonomiskā analīze'!B$21+'Ekonomiskā analīze'!B$17*'Jutīguma analīze_EA'!$B43</f>
        <v>-591813.79999999993</v>
      </c>
      <c r="D43" s="515">
        <f>'Ekonomiskā analīze'!C$21+'Ekonomiskā analīze'!C$17*'Jutīguma analīze_EA'!$B43</f>
        <v>-328805.96999999997</v>
      </c>
      <c r="E43" s="515">
        <f>'Ekonomiskā analīze'!D$21+'Ekonomiskā analīze'!D$17*'Jutīguma analīze_EA'!$B43</f>
        <v>-501950.5</v>
      </c>
      <c r="F43" s="515">
        <f>'Ekonomiskā analīze'!E$21+'Ekonomiskā analīze'!E$17*'Jutīguma analīze_EA'!$B43</f>
        <v>29716.867801467524</v>
      </c>
      <c r="G43" s="515">
        <f>'Ekonomiskā analīze'!F$21+'Ekonomiskā analīze'!F$17*'Jutīguma analīze_EA'!$B43</f>
        <v>49723.562160130445</v>
      </c>
      <c r="H43" s="515">
        <f>'Ekonomiskā analīze'!G$21+'Ekonomiskā analīze'!G$17*'Jutīguma analīze_EA'!$B43</f>
        <v>84726.736030593005</v>
      </c>
      <c r="I43" s="515">
        <f>'Ekonomiskā analīze'!H$21+'Ekonomiskā analīze'!H$17*'Jutīguma analīze_EA'!$B43</f>
        <v>115383.08945353526</v>
      </c>
      <c r="J43" s="515">
        <f>'Ekonomiskā analīze'!I$21+'Ekonomiskā analīze'!I$17*'Jutīguma analīze_EA'!$B43</f>
        <v>151008.17611288338</v>
      </c>
      <c r="K43" s="515">
        <f>'Ekonomiskā analīze'!J$21+'Ekonomiskā analīze'!J$17*'Jutīguma analīze_EA'!$B43</f>
        <v>157468.10528950224</v>
      </c>
      <c r="L43" s="515">
        <f>'Ekonomiskā analīze'!K$21+'Ekonomiskā analīze'!K$17*'Jutīguma analīze_EA'!$B43</f>
        <v>160111.08701357909</v>
      </c>
      <c r="M43" s="515">
        <f>'Ekonomiskā analīze'!L$21+'Ekonomiskā analīze'!L$17*'Jutīguma analīze_EA'!$B43</f>
        <v>160106.49867238884</v>
      </c>
      <c r="N43" s="515">
        <f>'Ekonomiskā analīze'!M$21+'Ekonomiskā analīze'!M$17*'Jutīguma analīze_EA'!$B43</f>
        <v>160438.41126301422</v>
      </c>
      <c r="O43" s="515">
        <f>'Ekonomiskā analīze'!N$21+'Ekonomiskā analīze'!N$17*'Jutīguma analīze_EA'!$B43</f>
        <v>160256.27707815624</v>
      </c>
      <c r="P43" s="515">
        <f>'Ekonomiskā analīze'!O$21+'Ekonomiskā analīze'!O$17*'Jutīguma analīze_EA'!$B43</f>
        <v>158647.86053478922</v>
      </c>
      <c r="Q43" s="515">
        <f>'Ekonomiskā analīze'!P$21+'Ekonomiskā analīze'!P$17*'Jutīguma analīze_EA'!$B43</f>
        <v>162081.70312272158</v>
      </c>
      <c r="R43" s="515">
        <f>'Ekonomiskā analīze'!Q$21+'Ekonomiskā analīze'!Q$17*'Jutīguma analīze_EA'!$B43</f>
        <v>168186.85028481504</v>
      </c>
      <c r="S43" s="515">
        <f>'Ekonomiskā analīze'!R$21+'Ekonomiskā analīze'!R$17*'Jutīguma analīze_EA'!$B43</f>
        <v>195944.19245743658</v>
      </c>
      <c r="T43" s="515">
        <f>'Ekonomiskā analīze'!S$21+'Ekonomiskā analīze'!S$17*'Jutīguma analīze_EA'!$B43</f>
        <v>204486.83618630408</v>
      </c>
      <c r="U43" s="515">
        <f>'Ekonomiskā analīze'!T$21+'Ekonomiskā analīze'!T$17*'Jutīguma analīze_EA'!$B43</f>
        <v>203713.24822494044</v>
      </c>
      <c r="V43" s="515">
        <f>'Ekonomiskā analīze'!U$21+'Ekonomiskā analīze'!U$17*'Jutīguma analīze_EA'!$B43</f>
        <v>207940.23844087351</v>
      </c>
      <c r="W43" s="515">
        <f>'Ekonomiskā analīze'!V$21+'Ekonomiskā analīze'!V$17*'Jutīguma analīze_EA'!$B43</f>
        <v>219199.97554099854</v>
      </c>
      <c r="X43" s="515">
        <f>'Ekonomiskā analīze'!W$21+'Ekonomiskā analīze'!W$17*'Jutīguma analīze_EA'!$B43</f>
        <v>223390.46482511546</v>
      </c>
      <c r="Y43" s="515">
        <f>'Ekonomiskā analīze'!X$21+'Ekonomiskā analīze'!X$17*'Jutīguma analīze_EA'!$B43</f>
        <v>230343.85028449923</v>
      </c>
      <c r="Z43" s="515">
        <f>'Ekonomiskā analīze'!Y$21+'Ekonomiskā analīze'!Y$17*'Jutīguma analīze_EA'!$B43</f>
        <v>234534.33956861665</v>
      </c>
      <c r="AA43" s="515">
        <f>'Ekonomiskā analīze'!Z$21+'Ekonomiskā analīze'!Z$17*'Jutīguma analīze_EA'!$B43</f>
        <v>238366.0536800042</v>
      </c>
      <c r="AB43" s="515">
        <f>'Ekonomiskā analīze'!AA$21+'Ekonomiskā analīze'!AA$17*'Jutīguma analīze_EA'!$B43</f>
        <v>242903.39533612039</v>
      </c>
      <c r="AC43" s="515">
        <f>'Ekonomiskā analīze'!AB$21+'Ekonomiskā analīze'!AB$17*'Jutīguma analīze_EA'!$B43</f>
        <v>244781.24412623982</v>
      </c>
      <c r="AD43" s="515">
        <f>'Ekonomiskā analīze'!AC$21+'Ekonomiskā analīze'!AC$17*'Jutīguma analīze_EA'!$B43</f>
        <v>215038.93850959436</v>
      </c>
      <c r="AE43" s="515">
        <f>'Ekonomiskā analīze'!AD$21+'Ekonomiskā analīze'!AD$17*'Jutīguma analīze_EA'!$B43</f>
        <v>150050.43350703316</v>
      </c>
      <c r="AF43" s="515">
        <f>'Ekonomiskā analīze'!AE$21+'Ekonomiskā analīze'!AE$17*'Jutīguma analīze_EA'!$B43</f>
        <v>151131.73228988034</v>
      </c>
      <c r="AG43" s="515">
        <f>'Ekonomiskā analīze'!AF$21+'Ekonomiskā analīze'!AF$17*'Jutīguma analīze_EA'!$B43</f>
        <v>144678.17556234263</v>
      </c>
      <c r="AH43" s="515">
        <f>'Ekonomiskā analīze'!AG$21+'Ekonomiskā analīze'!AG$17*'Jutīguma analīze_EA'!$B43</f>
        <v>696203.69612649537</v>
      </c>
      <c r="AI43" s="515">
        <f>'Ekonomiskā analīze'!AH$21+'Ekonomiskā analīze'!AH$17*'Jutīguma analīze_EA'!$B43</f>
        <v>150451.21669064806</v>
      </c>
    </row>
    <row r="44" spans="1:35" ht="12.75" x14ac:dyDescent="0.2">
      <c r="A44" s="794"/>
      <c r="B44" s="115">
        <v>0.01</v>
      </c>
      <c r="C44" s="515">
        <f>'Ekonomiskā analīze'!B$21+'Ekonomiskā analīze'!B$17*'Jutīguma analīze_EA'!$B44</f>
        <v>-591813.79999999993</v>
      </c>
      <c r="D44" s="515">
        <f>'Ekonomiskā analīze'!C$21+'Ekonomiskā analīze'!C$17*'Jutīguma analīze_EA'!$B44</f>
        <v>-329282.67</v>
      </c>
      <c r="E44" s="515">
        <f>'Ekonomiskā analīze'!D$21+'Ekonomiskā analīze'!D$17*'Jutīguma analīze_EA'!$B44</f>
        <v>-502427.2</v>
      </c>
      <c r="F44" s="515">
        <f>'Ekonomiskā analīze'!E$21+'Ekonomiskā analīze'!E$17*'Jutīguma analīze_EA'!$B44</f>
        <v>29716.867801467524</v>
      </c>
      <c r="G44" s="515">
        <f>'Ekonomiskā analīze'!F$21+'Ekonomiskā analīze'!F$17*'Jutīguma analīze_EA'!$B44</f>
        <v>49723.562160130445</v>
      </c>
      <c r="H44" s="515">
        <f>'Ekonomiskā analīze'!G$21+'Ekonomiskā analīze'!G$17*'Jutīguma analīze_EA'!$B44</f>
        <v>84726.736030593005</v>
      </c>
      <c r="I44" s="515">
        <f>'Ekonomiskā analīze'!H$21+'Ekonomiskā analīze'!H$17*'Jutīguma analīze_EA'!$B44</f>
        <v>115383.08945353526</v>
      </c>
      <c r="J44" s="515">
        <f>'Ekonomiskā analīze'!I$21+'Ekonomiskā analīze'!I$17*'Jutīguma analīze_EA'!$B44</f>
        <v>151008.17611288338</v>
      </c>
      <c r="K44" s="515">
        <f>'Ekonomiskā analīze'!J$21+'Ekonomiskā analīze'!J$17*'Jutīguma analīze_EA'!$B44</f>
        <v>157468.10528950224</v>
      </c>
      <c r="L44" s="515">
        <f>'Ekonomiskā analīze'!K$21+'Ekonomiskā analīze'!K$17*'Jutīguma analīze_EA'!$B44</f>
        <v>160111.08701357909</v>
      </c>
      <c r="M44" s="515">
        <f>'Ekonomiskā analīze'!L$21+'Ekonomiskā analīze'!L$17*'Jutīguma analīze_EA'!$B44</f>
        <v>160106.49867238884</v>
      </c>
      <c r="N44" s="515">
        <f>'Ekonomiskā analīze'!M$21+'Ekonomiskā analīze'!M$17*'Jutīguma analīze_EA'!$B44</f>
        <v>160438.41126301422</v>
      </c>
      <c r="O44" s="515">
        <f>'Ekonomiskā analīze'!N$21+'Ekonomiskā analīze'!N$17*'Jutīguma analīze_EA'!$B44</f>
        <v>160256.27707815624</v>
      </c>
      <c r="P44" s="515">
        <f>'Ekonomiskā analīze'!O$21+'Ekonomiskā analīze'!O$17*'Jutīguma analīze_EA'!$B44</f>
        <v>158647.86053478922</v>
      </c>
      <c r="Q44" s="515">
        <f>'Ekonomiskā analīze'!P$21+'Ekonomiskā analīze'!P$17*'Jutīguma analīze_EA'!$B44</f>
        <v>162081.70312272158</v>
      </c>
      <c r="R44" s="515">
        <f>'Ekonomiskā analīze'!Q$21+'Ekonomiskā analīze'!Q$17*'Jutīguma analīze_EA'!$B44</f>
        <v>168186.85028481504</v>
      </c>
      <c r="S44" s="515">
        <f>'Ekonomiskā analīze'!R$21+'Ekonomiskā analīze'!R$17*'Jutīguma analīze_EA'!$B44</f>
        <v>195944.19245743658</v>
      </c>
      <c r="T44" s="515">
        <f>'Ekonomiskā analīze'!S$21+'Ekonomiskā analīze'!S$17*'Jutīguma analīze_EA'!$B44</f>
        <v>204486.83618630408</v>
      </c>
      <c r="U44" s="515">
        <f>'Ekonomiskā analīze'!T$21+'Ekonomiskā analīze'!T$17*'Jutīguma analīze_EA'!$B44</f>
        <v>203713.24822494044</v>
      </c>
      <c r="V44" s="515">
        <f>'Ekonomiskā analīze'!U$21+'Ekonomiskā analīze'!U$17*'Jutīguma analīze_EA'!$B44</f>
        <v>207940.23844087351</v>
      </c>
      <c r="W44" s="515">
        <f>'Ekonomiskā analīze'!V$21+'Ekonomiskā analīze'!V$17*'Jutīguma analīze_EA'!$B44</f>
        <v>219199.97554099854</v>
      </c>
      <c r="X44" s="515">
        <f>'Ekonomiskā analīze'!W$21+'Ekonomiskā analīze'!W$17*'Jutīguma analīze_EA'!$B44</f>
        <v>223390.46482511546</v>
      </c>
      <c r="Y44" s="515">
        <f>'Ekonomiskā analīze'!X$21+'Ekonomiskā analīze'!X$17*'Jutīguma analīze_EA'!$B44</f>
        <v>230343.85028449923</v>
      </c>
      <c r="Z44" s="515">
        <f>'Ekonomiskā analīze'!Y$21+'Ekonomiskā analīze'!Y$17*'Jutīguma analīze_EA'!$B44</f>
        <v>234534.33956861665</v>
      </c>
      <c r="AA44" s="515">
        <f>'Ekonomiskā analīze'!Z$21+'Ekonomiskā analīze'!Z$17*'Jutīguma analīze_EA'!$B44</f>
        <v>238366.0536800042</v>
      </c>
      <c r="AB44" s="515">
        <f>'Ekonomiskā analīze'!AA$21+'Ekonomiskā analīze'!AA$17*'Jutīguma analīze_EA'!$B44</f>
        <v>242903.39533612039</v>
      </c>
      <c r="AC44" s="515">
        <f>'Ekonomiskā analīze'!AB$21+'Ekonomiskā analīze'!AB$17*'Jutīguma analīze_EA'!$B44</f>
        <v>244781.24412623982</v>
      </c>
      <c r="AD44" s="515">
        <f>'Ekonomiskā analīze'!AC$21+'Ekonomiskā analīze'!AC$17*'Jutīguma analīze_EA'!$B44</f>
        <v>215038.93850959436</v>
      </c>
      <c r="AE44" s="515">
        <f>'Ekonomiskā analīze'!AD$21+'Ekonomiskā analīze'!AD$17*'Jutīguma analīze_EA'!$B44</f>
        <v>150050.43350703316</v>
      </c>
      <c r="AF44" s="515">
        <f>'Ekonomiskā analīze'!AE$21+'Ekonomiskā analīze'!AE$17*'Jutīguma analīze_EA'!$B44</f>
        <v>151131.73228988034</v>
      </c>
      <c r="AG44" s="515">
        <f>'Ekonomiskā analīze'!AF$21+'Ekonomiskā analīze'!AF$17*'Jutīguma analīze_EA'!$B44</f>
        <v>144678.17556234263</v>
      </c>
      <c r="AH44" s="515">
        <f>'Ekonomiskā analīze'!AG$21+'Ekonomiskā analīze'!AG$17*'Jutīguma analīze_EA'!$B44</f>
        <v>696203.69612649537</v>
      </c>
      <c r="AI44" s="515">
        <f>'Ekonomiskā analīze'!AH$21+'Ekonomiskā analīze'!AH$17*'Jutīguma analīze_EA'!$B44</f>
        <v>150451.21669064806</v>
      </c>
    </row>
    <row r="45" spans="1:35" s="509" customFormat="1" ht="12.75" x14ac:dyDescent="0.2">
      <c r="A45" s="794"/>
      <c r="B45" s="116">
        <v>0</v>
      </c>
      <c r="C45" s="583">
        <f>'Ekonomiskā analīze'!B$21+'Ekonomiskā analīze'!B$17*'Jutīguma analīze_EA'!$B45</f>
        <v>-591813.79999999993</v>
      </c>
      <c r="D45" s="583">
        <f>'Ekonomiskā analīze'!C$21+'Ekonomiskā analīze'!C$17*'Jutīguma analīze_EA'!$B45</f>
        <v>-329600.46999999997</v>
      </c>
      <c r="E45" s="583">
        <f>'Ekonomiskā analīze'!D$21+'Ekonomiskā analīze'!D$17*'Jutīguma analīze_EA'!$B45</f>
        <v>-502745</v>
      </c>
      <c r="F45" s="583">
        <f>'Ekonomiskā analīze'!E$21+'Ekonomiskā analīze'!E$17*'Jutīguma analīze_EA'!$B45</f>
        <v>29716.867801467524</v>
      </c>
      <c r="G45" s="583">
        <f>'Ekonomiskā analīze'!F$21+'Ekonomiskā analīze'!F$17*'Jutīguma analīze_EA'!$B45</f>
        <v>49723.562160130445</v>
      </c>
      <c r="H45" s="583">
        <f>'Ekonomiskā analīze'!G$21+'Ekonomiskā analīze'!G$17*'Jutīguma analīze_EA'!$B45</f>
        <v>84726.736030593005</v>
      </c>
      <c r="I45" s="583">
        <f>'Ekonomiskā analīze'!H$21+'Ekonomiskā analīze'!H$17*'Jutīguma analīze_EA'!$B45</f>
        <v>115383.08945353526</v>
      </c>
      <c r="J45" s="583">
        <f>'Ekonomiskā analīze'!I$21+'Ekonomiskā analīze'!I$17*'Jutīguma analīze_EA'!$B45</f>
        <v>151008.17611288338</v>
      </c>
      <c r="K45" s="583">
        <f>'Ekonomiskā analīze'!J$21+'Ekonomiskā analīze'!J$17*'Jutīguma analīze_EA'!$B45</f>
        <v>157468.10528950224</v>
      </c>
      <c r="L45" s="583">
        <f>'Ekonomiskā analīze'!K$21+'Ekonomiskā analīze'!K$17*'Jutīguma analīze_EA'!$B45</f>
        <v>160111.08701357909</v>
      </c>
      <c r="M45" s="583">
        <f>'Ekonomiskā analīze'!L$21+'Ekonomiskā analīze'!L$17*'Jutīguma analīze_EA'!$B45</f>
        <v>160106.49867238884</v>
      </c>
      <c r="N45" s="583">
        <f>'Ekonomiskā analīze'!M$21+'Ekonomiskā analīze'!M$17*'Jutīguma analīze_EA'!$B45</f>
        <v>160438.41126301422</v>
      </c>
      <c r="O45" s="583">
        <f>'Ekonomiskā analīze'!N$21+'Ekonomiskā analīze'!N$17*'Jutīguma analīze_EA'!$B45</f>
        <v>160256.27707815624</v>
      </c>
      <c r="P45" s="583">
        <f>'Ekonomiskā analīze'!O$21+'Ekonomiskā analīze'!O$17*'Jutīguma analīze_EA'!$B45</f>
        <v>158647.86053478922</v>
      </c>
      <c r="Q45" s="583">
        <f>'Ekonomiskā analīze'!P$21+'Ekonomiskā analīze'!P$17*'Jutīguma analīze_EA'!$B45</f>
        <v>162081.70312272158</v>
      </c>
      <c r="R45" s="583">
        <f>'Ekonomiskā analīze'!Q$21+'Ekonomiskā analīze'!Q$17*'Jutīguma analīze_EA'!$B45</f>
        <v>168186.85028481504</v>
      </c>
      <c r="S45" s="583">
        <f>'Ekonomiskā analīze'!R$21+'Ekonomiskā analīze'!R$17*'Jutīguma analīze_EA'!$B45</f>
        <v>195944.19245743658</v>
      </c>
      <c r="T45" s="583">
        <f>'Ekonomiskā analīze'!S$21+'Ekonomiskā analīze'!S$17*'Jutīguma analīze_EA'!$B45</f>
        <v>204486.83618630408</v>
      </c>
      <c r="U45" s="583">
        <f>'Ekonomiskā analīze'!T$21+'Ekonomiskā analīze'!T$17*'Jutīguma analīze_EA'!$B45</f>
        <v>203713.24822494044</v>
      </c>
      <c r="V45" s="583">
        <f>'Ekonomiskā analīze'!U$21+'Ekonomiskā analīze'!U$17*'Jutīguma analīze_EA'!$B45</f>
        <v>207940.23844087351</v>
      </c>
      <c r="W45" s="583">
        <f>'Ekonomiskā analīze'!V$21+'Ekonomiskā analīze'!V$17*'Jutīguma analīze_EA'!$B45</f>
        <v>219199.97554099854</v>
      </c>
      <c r="X45" s="583">
        <f>'Ekonomiskā analīze'!W$21+'Ekonomiskā analīze'!W$17*'Jutīguma analīze_EA'!$B45</f>
        <v>223390.46482511546</v>
      </c>
      <c r="Y45" s="583">
        <f>'Ekonomiskā analīze'!X$21+'Ekonomiskā analīze'!X$17*'Jutīguma analīze_EA'!$B45</f>
        <v>230343.85028449923</v>
      </c>
      <c r="Z45" s="583">
        <f>'Ekonomiskā analīze'!Y$21+'Ekonomiskā analīze'!Y$17*'Jutīguma analīze_EA'!$B45</f>
        <v>234534.33956861665</v>
      </c>
      <c r="AA45" s="583">
        <f>'Ekonomiskā analīze'!Z$21+'Ekonomiskā analīze'!Z$17*'Jutīguma analīze_EA'!$B45</f>
        <v>238366.0536800042</v>
      </c>
      <c r="AB45" s="583">
        <f>'Ekonomiskā analīze'!AA$21+'Ekonomiskā analīze'!AA$17*'Jutīguma analīze_EA'!$B45</f>
        <v>242903.39533612039</v>
      </c>
      <c r="AC45" s="583">
        <f>'Ekonomiskā analīze'!AB$21+'Ekonomiskā analīze'!AB$17*'Jutīguma analīze_EA'!$B45</f>
        <v>244781.24412623982</v>
      </c>
      <c r="AD45" s="583">
        <f>'Ekonomiskā analīze'!AC$21+'Ekonomiskā analīze'!AC$17*'Jutīguma analīze_EA'!$B45</f>
        <v>215038.93850959436</v>
      </c>
      <c r="AE45" s="583">
        <f>'Ekonomiskā analīze'!AD$21+'Ekonomiskā analīze'!AD$17*'Jutīguma analīze_EA'!$B45</f>
        <v>150050.43350703316</v>
      </c>
      <c r="AF45" s="583">
        <f>'Ekonomiskā analīze'!AE$21+'Ekonomiskā analīze'!AE$17*'Jutīguma analīze_EA'!$B45</f>
        <v>151131.73228988034</v>
      </c>
      <c r="AG45" s="583">
        <f>'Ekonomiskā analīze'!AF$21+'Ekonomiskā analīze'!AF$17*'Jutīguma analīze_EA'!$B45</f>
        <v>144678.17556234263</v>
      </c>
      <c r="AH45" s="583">
        <f>'Ekonomiskā analīze'!AG$21+'Ekonomiskā analīze'!AG$17*'Jutīguma analīze_EA'!$B45</f>
        <v>696203.69612649537</v>
      </c>
      <c r="AI45" s="583">
        <f>'Ekonomiskā analīze'!AH$21+'Ekonomiskā analīze'!AH$17*'Jutīguma analīze_EA'!$B45</f>
        <v>150451.21669064806</v>
      </c>
    </row>
    <row r="46" spans="1:35" ht="12.75" x14ac:dyDescent="0.2">
      <c r="A46" s="794"/>
      <c r="B46" s="115">
        <v>-0.01</v>
      </c>
      <c r="C46" s="515">
        <f>'Ekonomiskā analīze'!B$21+'Ekonomiskā analīze'!B$17*'Jutīguma analīze_EA'!$B46</f>
        <v>-591813.79999999993</v>
      </c>
      <c r="D46" s="515">
        <f>'Ekonomiskā analīze'!C$21+'Ekonomiskā analīze'!C$17*'Jutīguma analīze_EA'!$B46</f>
        <v>-329918.26999999996</v>
      </c>
      <c r="E46" s="515">
        <f>'Ekonomiskā analīze'!D$21+'Ekonomiskā analīze'!D$17*'Jutīguma analīze_EA'!$B46</f>
        <v>-503062.8</v>
      </c>
      <c r="F46" s="515">
        <f>'Ekonomiskā analīze'!E$21+'Ekonomiskā analīze'!E$17*'Jutīguma analīze_EA'!$B46</f>
        <v>29716.867801467524</v>
      </c>
      <c r="G46" s="515">
        <f>'Ekonomiskā analīze'!F$21+'Ekonomiskā analīze'!F$17*'Jutīguma analīze_EA'!$B46</f>
        <v>49723.562160130445</v>
      </c>
      <c r="H46" s="515">
        <f>'Ekonomiskā analīze'!G$21+'Ekonomiskā analīze'!G$17*'Jutīguma analīze_EA'!$B46</f>
        <v>84726.736030593005</v>
      </c>
      <c r="I46" s="515">
        <f>'Ekonomiskā analīze'!H$21+'Ekonomiskā analīze'!H$17*'Jutīguma analīze_EA'!$B46</f>
        <v>115383.08945353526</v>
      </c>
      <c r="J46" s="515">
        <f>'Ekonomiskā analīze'!I$21+'Ekonomiskā analīze'!I$17*'Jutīguma analīze_EA'!$B46</f>
        <v>151008.17611288338</v>
      </c>
      <c r="K46" s="515">
        <f>'Ekonomiskā analīze'!J$21+'Ekonomiskā analīze'!J$17*'Jutīguma analīze_EA'!$B46</f>
        <v>157468.10528950224</v>
      </c>
      <c r="L46" s="515">
        <f>'Ekonomiskā analīze'!K$21+'Ekonomiskā analīze'!K$17*'Jutīguma analīze_EA'!$B46</f>
        <v>160111.08701357909</v>
      </c>
      <c r="M46" s="515">
        <f>'Ekonomiskā analīze'!L$21+'Ekonomiskā analīze'!L$17*'Jutīguma analīze_EA'!$B46</f>
        <v>160106.49867238884</v>
      </c>
      <c r="N46" s="515">
        <f>'Ekonomiskā analīze'!M$21+'Ekonomiskā analīze'!M$17*'Jutīguma analīze_EA'!$B46</f>
        <v>160438.41126301422</v>
      </c>
      <c r="O46" s="515">
        <f>'Ekonomiskā analīze'!N$21+'Ekonomiskā analīze'!N$17*'Jutīguma analīze_EA'!$B46</f>
        <v>160256.27707815624</v>
      </c>
      <c r="P46" s="515">
        <f>'Ekonomiskā analīze'!O$21+'Ekonomiskā analīze'!O$17*'Jutīguma analīze_EA'!$B46</f>
        <v>158647.86053478922</v>
      </c>
      <c r="Q46" s="515">
        <f>'Ekonomiskā analīze'!P$21+'Ekonomiskā analīze'!P$17*'Jutīguma analīze_EA'!$B46</f>
        <v>162081.70312272158</v>
      </c>
      <c r="R46" s="515">
        <f>'Ekonomiskā analīze'!Q$21+'Ekonomiskā analīze'!Q$17*'Jutīguma analīze_EA'!$B46</f>
        <v>168186.85028481504</v>
      </c>
      <c r="S46" s="515">
        <f>'Ekonomiskā analīze'!R$21+'Ekonomiskā analīze'!R$17*'Jutīguma analīze_EA'!$B46</f>
        <v>195944.19245743658</v>
      </c>
      <c r="T46" s="515">
        <f>'Ekonomiskā analīze'!S$21+'Ekonomiskā analīze'!S$17*'Jutīguma analīze_EA'!$B46</f>
        <v>204486.83618630408</v>
      </c>
      <c r="U46" s="515">
        <f>'Ekonomiskā analīze'!T$21+'Ekonomiskā analīze'!T$17*'Jutīguma analīze_EA'!$B46</f>
        <v>203713.24822494044</v>
      </c>
      <c r="V46" s="515">
        <f>'Ekonomiskā analīze'!U$21+'Ekonomiskā analīze'!U$17*'Jutīguma analīze_EA'!$B46</f>
        <v>207940.23844087351</v>
      </c>
      <c r="W46" s="515">
        <f>'Ekonomiskā analīze'!V$21+'Ekonomiskā analīze'!V$17*'Jutīguma analīze_EA'!$B46</f>
        <v>219199.97554099854</v>
      </c>
      <c r="X46" s="515">
        <f>'Ekonomiskā analīze'!W$21+'Ekonomiskā analīze'!W$17*'Jutīguma analīze_EA'!$B46</f>
        <v>223390.46482511546</v>
      </c>
      <c r="Y46" s="515">
        <f>'Ekonomiskā analīze'!X$21+'Ekonomiskā analīze'!X$17*'Jutīguma analīze_EA'!$B46</f>
        <v>230343.85028449923</v>
      </c>
      <c r="Z46" s="515">
        <f>'Ekonomiskā analīze'!Y$21+'Ekonomiskā analīze'!Y$17*'Jutīguma analīze_EA'!$B46</f>
        <v>234534.33956861665</v>
      </c>
      <c r="AA46" s="515">
        <f>'Ekonomiskā analīze'!Z$21+'Ekonomiskā analīze'!Z$17*'Jutīguma analīze_EA'!$B46</f>
        <v>238366.0536800042</v>
      </c>
      <c r="AB46" s="515">
        <f>'Ekonomiskā analīze'!AA$21+'Ekonomiskā analīze'!AA$17*'Jutīguma analīze_EA'!$B46</f>
        <v>242903.39533612039</v>
      </c>
      <c r="AC46" s="515">
        <f>'Ekonomiskā analīze'!AB$21+'Ekonomiskā analīze'!AB$17*'Jutīguma analīze_EA'!$B46</f>
        <v>244781.24412623982</v>
      </c>
      <c r="AD46" s="515">
        <f>'Ekonomiskā analīze'!AC$21+'Ekonomiskā analīze'!AC$17*'Jutīguma analīze_EA'!$B46</f>
        <v>215038.93850959436</v>
      </c>
      <c r="AE46" s="515">
        <f>'Ekonomiskā analīze'!AD$21+'Ekonomiskā analīze'!AD$17*'Jutīguma analīze_EA'!$B46</f>
        <v>150050.43350703316</v>
      </c>
      <c r="AF46" s="515">
        <f>'Ekonomiskā analīze'!AE$21+'Ekonomiskā analīze'!AE$17*'Jutīguma analīze_EA'!$B46</f>
        <v>151131.73228988034</v>
      </c>
      <c r="AG46" s="515">
        <f>'Ekonomiskā analīze'!AF$21+'Ekonomiskā analīze'!AF$17*'Jutīguma analīze_EA'!$B46</f>
        <v>144678.17556234263</v>
      </c>
      <c r="AH46" s="515">
        <f>'Ekonomiskā analīze'!AG$21+'Ekonomiskā analīze'!AG$17*'Jutīguma analīze_EA'!$B46</f>
        <v>696203.69612649537</v>
      </c>
      <c r="AI46" s="515">
        <f>'Ekonomiskā analīze'!AH$21+'Ekonomiskā analīze'!AH$17*'Jutīguma analīze_EA'!$B46</f>
        <v>150451.21669064806</v>
      </c>
    </row>
    <row r="47" spans="1:35" ht="12.75" x14ac:dyDescent="0.2">
      <c r="A47" s="794"/>
      <c r="B47" s="115">
        <v>-2.5000000000000001E-2</v>
      </c>
      <c r="C47" s="515">
        <f>'Ekonomiskā analīze'!B$21+'Ekonomiskā analīze'!B$17*'Jutīguma analīze_EA'!$B47</f>
        <v>-591813.79999999993</v>
      </c>
      <c r="D47" s="515">
        <f>'Ekonomiskā analīze'!C$21+'Ekonomiskā analīze'!C$17*'Jutīguma analīze_EA'!$B47</f>
        <v>-330394.96999999997</v>
      </c>
      <c r="E47" s="515">
        <f>'Ekonomiskā analīze'!D$21+'Ekonomiskā analīze'!D$17*'Jutīguma analīze_EA'!$B47</f>
        <v>-503539.5</v>
      </c>
      <c r="F47" s="515">
        <f>'Ekonomiskā analīze'!E$21+'Ekonomiskā analīze'!E$17*'Jutīguma analīze_EA'!$B47</f>
        <v>29716.867801467524</v>
      </c>
      <c r="G47" s="515">
        <f>'Ekonomiskā analīze'!F$21+'Ekonomiskā analīze'!F$17*'Jutīguma analīze_EA'!$B47</f>
        <v>49723.562160130445</v>
      </c>
      <c r="H47" s="515">
        <f>'Ekonomiskā analīze'!G$21+'Ekonomiskā analīze'!G$17*'Jutīguma analīze_EA'!$B47</f>
        <v>84726.736030593005</v>
      </c>
      <c r="I47" s="515">
        <f>'Ekonomiskā analīze'!H$21+'Ekonomiskā analīze'!H$17*'Jutīguma analīze_EA'!$B47</f>
        <v>115383.08945353526</v>
      </c>
      <c r="J47" s="515">
        <f>'Ekonomiskā analīze'!I$21+'Ekonomiskā analīze'!I$17*'Jutīguma analīze_EA'!$B47</f>
        <v>151008.17611288338</v>
      </c>
      <c r="K47" s="515">
        <f>'Ekonomiskā analīze'!J$21+'Ekonomiskā analīze'!J$17*'Jutīguma analīze_EA'!$B47</f>
        <v>157468.10528950224</v>
      </c>
      <c r="L47" s="515">
        <f>'Ekonomiskā analīze'!K$21+'Ekonomiskā analīze'!K$17*'Jutīguma analīze_EA'!$B47</f>
        <v>160111.08701357909</v>
      </c>
      <c r="M47" s="515">
        <f>'Ekonomiskā analīze'!L$21+'Ekonomiskā analīze'!L$17*'Jutīguma analīze_EA'!$B47</f>
        <v>160106.49867238884</v>
      </c>
      <c r="N47" s="515">
        <f>'Ekonomiskā analīze'!M$21+'Ekonomiskā analīze'!M$17*'Jutīguma analīze_EA'!$B47</f>
        <v>160438.41126301422</v>
      </c>
      <c r="O47" s="515">
        <f>'Ekonomiskā analīze'!N$21+'Ekonomiskā analīze'!N$17*'Jutīguma analīze_EA'!$B47</f>
        <v>160256.27707815624</v>
      </c>
      <c r="P47" s="515">
        <f>'Ekonomiskā analīze'!O$21+'Ekonomiskā analīze'!O$17*'Jutīguma analīze_EA'!$B47</f>
        <v>158647.86053478922</v>
      </c>
      <c r="Q47" s="515">
        <f>'Ekonomiskā analīze'!P$21+'Ekonomiskā analīze'!P$17*'Jutīguma analīze_EA'!$B47</f>
        <v>162081.70312272158</v>
      </c>
      <c r="R47" s="515">
        <f>'Ekonomiskā analīze'!Q$21+'Ekonomiskā analīze'!Q$17*'Jutīguma analīze_EA'!$B47</f>
        <v>168186.85028481504</v>
      </c>
      <c r="S47" s="515">
        <f>'Ekonomiskā analīze'!R$21+'Ekonomiskā analīze'!R$17*'Jutīguma analīze_EA'!$B47</f>
        <v>195944.19245743658</v>
      </c>
      <c r="T47" s="515">
        <f>'Ekonomiskā analīze'!S$21+'Ekonomiskā analīze'!S$17*'Jutīguma analīze_EA'!$B47</f>
        <v>204486.83618630408</v>
      </c>
      <c r="U47" s="515">
        <f>'Ekonomiskā analīze'!T$21+'Ekonomiskā analīze'!T$17*'Jutīguma analīze_EA'!$B47</f>
        <v>203713.24822494044</v>
      </c>
      <c r="V47" s="515">
        <f>'Ekonomiskā analīze'!U$21+'Ekonomiskā analīze'!U$17*'Jutīguma analīze_EA'!$B47</f>
        <v>207940.23844087351</v>
      </c>
      <c r="W47" s="515">
        <f>'Ekonomiskā analīze'!V$21+'Ekonomiskā analīze'!V$17*'Jutīguma analīze_EA'!$B47</f>
        <v>219199.97554099854</v>
      </c>
      <c r="X47" s="515">
        <f>'Ekonomiskā analīze'!W$21+'Ekonomiskā analīze'!W$17*'Jutīguma analīze_EA'!$B47</f>
        <v>223390.46482511546</v>
      </c>
      <c r="Y47" s="515">
        <f>'Ekonomiskā analīze'!X$21+'Ekonomiskā analīze'!X$17*'Jutīguma analīze_EA'!$B47</f>
        <v>230343.85028449923</v>
      </c>
      <c r="Z47" s="515">
        <f>'Ekonomiskā analīze'!Y$21+'Ekonomiskā analīze'!Y$17*'Jutīguma analīze_EA'!$B47</f>
        <v>234534.33956861665</v>
      </c>
      <c r="AA47" s="515">
        <f>'Ekonomiskā analīze'!Z$21+'Ekonomiskā analīze'!Z$17*'Jutīguma analīze_EA'!$B47</f>
        <v>238366.0536800042</v>
      </c>
      <c r="AB47" s="515">
        <f>'Ekonomiskā analīze'!AA$21+'Ekonomiskā analīze'!AA$17*'Jutīguma analīze_EA'!$B47</f>
        <v>242903.39533612039</v>
      </c>
      <c r="AC47" s="515">
        <f>'Ekonomiskā analīze'!AB$21+'Ekonomiskā analīze'!AB$17*'Jutīguma analīze_EA'!$B47</f>
        <v>244781.24412623982</v>
      </c>
      <c r="AD47" s="515">
        <f>'Ekonomiskā analīze'!AC$21+'Ekonomiskā analīze'!AC$17*'Jutīguma analīze_EA'!$B47</f>
        <v>215038.93850959436</v>
      </c>
      <c r="AE47" s="515">
        <f>'Ekonomiskā analīze'!AD$21+'Ekonomiskā analīze'!AD$17*'Jutīguma analīze_EA'!$B47</f>
        <v>150050.43350703316</v>
      </c>
      <c r="AF47" s="515">
        <f>'Ekonomiskā analīze'!AE$21+'Ekonomiskā analīze'!AE$17*'Jutīguma analīze_EA'!$B47</f>
        <v>151131.73228988034</v>
      </c>
      <c r="AG47" s="515">
        <f>'Ekonomiskā analīze'!AF$21+'Ekonomiskā analīze'!AF$17*'Jutīguma analīze_EA'!$B47</f>
        <v>144678.17556234263</v>
      </c>
      <c r="AH47" s="515">
        <f>'Ekonomiskā analīze'!AG$21+'Ekonomiskā analīze'!AG$17*'Jutīguma analīze_EA'!$B47</f>
        <v>696203.69612649537</v>
      </c>
      <c r="AI47" s="515">
        <f>'Ekonomiskā analīze'!AH$21+'Ekonomiskā analīze'!AH$17*'Jutīguma analīze_EA'!$B47</f>
        <v>150451.21669064806</v>
      </c>
    </row>
    <row r="48" spans="1:35" ht="12.75" x14ac:dyDescent="0.2">
      <c r="A48" s="794"/>
      <c r="B48" s="115">
        <v>-0.05</v>
      </c>
      <c r="C48" s="515">
        <f>'Ekonomiskā analīze'!B$21+'Ekonomiskā analīze'!B$17*'Jutīguma analīze_EA'!$B48</f>
        <v>-591813.79999999993</v>
      </c>
      <c r="D48" s="515">
        <f>'Ekonomiskā analīze'!C$21+'Ekonomiskā analīze'!C$17*'Jutīguma analīze_EA'!$B48</f>
        <v>-331189.46999999997</v>
      </c>
      <c r="E48" s="515">
        <f>'Ekonomiskā analīze'!D$21+'Ekonomiskā analīze'!D$17*'Jutīguma analīze_EA'!$B48</f>
        <v>-504334</v>
      </c>
      <c r="F48" s="515">
        <f>'Ekonomiskā analīze'!E$21+'Ekonomiskā analīze'!E$17*'Jutīguma analīze_EA'!$B48</f>
        <v>29716.867801467524</v>
      </c>
      <c r="G48" s="515">
        <f>'Ekonomiskā analīze'!F$21+'Ekonomiskā analīze'!F$17*'Jutīguma analīze_EA'!$B48</f>
        <v>49723.562160130445</v>
      </c>
      <c r="H48" s="515">
        <f>'Ekonomiskā analīze'!G$21+'Ekonomiskā analīze'!G$17*'Jutīguma analīze_EA'!$B48</f>
        <v>84726.736030593005</v>
      </c>
      <c r="I48" s="515">
        <f>'Ekonomiskā analīze'!H$21+'Ekonomiskā analīze'!H$17*'Jutīguma analīze_EA'!$B48</f>
        <v>115383.08945353526</v>
      </c>
      <c r="J48" s="515">
        <f>'Ekonomiskā analīze'!I$21+'Ekonomiskā analīze'!I$17*'Jutīguma analīze_EA'!$B48</f>
        <v>151008.17611288338</v>
      </c>
      <c r="K48" s="515">
        <f>'Ekonomiskā analīze'!J$21+'Ekonomiskā analīze'!J$17*'Jutīguma analīze_EA'!$B48</f>
        <v>157468.10528950224</v>
      </c>
      <c r="L48" s="515">
        <f>'Ekonomiskā analīze'!K$21+'Ekonomiskā analīze'!K$17*'Jutīguma analīze_EA'!$B48</f>
        <v>160111.08701357909</v>
      </c>
      <c r="M48" s="515">
        <f>'Ekonomiskā analīze'!L$21+'Ekonomiskā analīze'!L$17*'Jutīguma analīze_EA'!$B48</f>
        <v>160106.49867238884</v>
      </c>
      <c r="N48" s="515">
        <f>'Ekonomiskā analīze'!M$21+'Ekonomiskā analīze'!M$17*'Jutīguma analīze_EA'!$B48</f>
        <v>160438.41126301422</v>
      </c>
      <c r="O48" s="515">
        <f>'Ekonomiskā analīze'!N$21+'Ekonomiskā analīze'!N$17*'Jutīguma analīze_EA'!$B48</f>
        <v>160256.27707815624</v>
      </c>
      <c r="P48" s="515">
        <f>'Ekonomiskā analīze'!O$21+'Ekonomiskā analīze'!O$17*'Jutīguma analīze_EA'!$B48</f>
        <v>158647.86053478922</v>
      </c>
      <c r="Q48" s="515">
        <f>'Ekonomiskā analīze'!P$21+'Ekonomiskā analīze'!P$17*'Jutīguma analīze_EA'!$B48</f>
        <v>162081.70312272158</v>
      </c>
      <c r="R48" s="515">
        <f>'Ekonomiskā analīze'!Q$21+'Ekonomiskā analīze'!Q$17*'Jutīguma analīze_EA'!$B48</f>
        <v>168186.85028481504</v>
      </c>
      <c r="S48" s="515">
        <f>'Ekonomiskā analīze'!R$21+'Ekonomiskā analīze'!R$17*'Jutīguma analīze_EA'!$B48</f>
        <v>195944.19245743658</v>
      </c>
      <c r="T48" s="515">
        <f>'Ekonomiskā analīze'!S$21+'Ekonomiskā analīze'!S$17*'Jutīguma analīze_EA'!$B48</f>
        <v>204486.83618630408</v>
      </c>
      <c r="U48" s="515">
        <f>'Ekonomiskā analīze'!T$21+'Ekonomiskā analīze'!T$17*'Jutīguma analīze_EA'!$B48</f>
        <v>203713.24822494044</v>
      </c>
      <c r="V48" s="515">
        <f>'Ekonomiskā analīze'!U$21+'Ekonomiskā analīze'!U$17*'Jutīguma analīze_EA'!$B48</f>
        <v>207940.23844087351</v>
      </c>
      <c r="W48" s="515">
        <f>'Ekonomiskā analīze'!V$21+'Ekonomiskā analīze'!V$17*'Jutīguma analīze_EA'!$B48</f>
        <v>219199.97554099854</v>
      </c>
      <c r="X48" s="515">
        <f>'Ekonomiskā analīze'!W$21+'Ekonomiskā analīze'!W$17*'Jutīguma analīze_EA'!$B48</f>
        <v>223390.46482511546</v>
      </c>
      <c r="Y48" s="515">
        <f>'Ekonomiskā analīze'!X$21+'Ekonomiskā analīze'!X$17*'Jutīguma analīze_EA'!$B48</f>
        <v>230343.85028449923</v>
      </c>
      <c r="Z48" s="515">
        <f>'Ekonomiskā analīze'!Y$21+'Ekonomiskā analīze'!Y$17*'Jutīguma analīze_EA'!$B48</f>
        <v>234534.33956861665</v>
      </c>
      <c r="AA48" s="515">
        <f>'Ekonomiskā analīze'!Z$21+'Ekonomiskā analīze'!Z$17*'Jutīguma analīze_EA'!$B48</f>
        <v>238366.0536800042</v>
      </c>
      <c r="AB48" s="515">
        <f>'Ekonomiskā analīze'!AA$21+'Ekonomiskā analīze'!AA$17*'Jutīguma analīze_EA'!$B48</f>
        <v>242903.39533612039</v>
      </c>
      <c r="AC48" s="515">
        <f>'Ekonomiskā analīze'!AB$21+'Ekonomiskā analīze'!AB$17*'Jutīguma analīze_EA'!$B48</f>
        <v>244781.24412623982</v>
      </c>
      <c r="AD48" s="515">
        <f>'Ekonomiskā analīze'!AC$21+'Ekonomiskā analīze'!AC$17*'Jutīguma analīze_EA'!$B48</f>
        <v>215038.93850959436</v>
      </c>
      <c r="AE48" s="515">
        <f>'Ekonomiskā analīze'!AD$21+'Ekonomiskā analīze'!AD$17*'Jutīguma analīze_EA'!$B48</f>
        <v>150050.43350703316</v>
      </c>
      <c r="AF48" s="515">
        <f>'Ekonomiskā analīze'!AE$21+'Ekonomiskā analīze'!AE$17*'Jutīguma analīze_EA'!$B48</f>
        <v>151131.73228988034</v>
      </c>
      <c r="AG48" s="515">
        <f>'Ekonomiskā analīze'!AF$21+'Ekonomiskā analīze'!AF$17*'Jutīguma analīze_EA'!$B48</f>
        <v>144678.17556234263</v>
      </c>
      <c r="AH48" s="515">
        <f>'Ekonomiskā analīze'!AG$21+'Ekonomiskā analīze'!AG$17*'Jutīguma analīze_EA'!$B48</f>
        <v>696203.69612649537</v>
      </c>
      <c r="AI48" s="515">
        <f>'Ekonomiskā analīze'!AH$21+'Ekonomiskā analīze'!AH$17*'Jutīguma analīze_EA'!$B48</f>
        <v>150451.21669064806</v>
      </c>
    </row>
    <row r="49" spans="1:35" ht="12.75" x14ac:dyDescent="0.2">
      <c r="A49" s="794"/>
      <c r="B49" s="115">
        <v>-7.4999999999999997E-2</v>
      </c>
      <c r="C49" s="515">
        <f>'Ekonomiskā analīze'!B$21+'Ekonomiskā analīze'!B$17*'Jutīguma analīze_EA'!$B49</f>
        <v>-591813.79999999993</v>
      </c>
      <c r="D49" s="515">
        <f>'Ekonomiskā analīze'!C$21+'Ekonomiskā analīze'!C$17*'Jutīguma analīze_EA'!$B49</f>
        <v>-331983.96999999997</v>
      </c>
      <c r="E49" s="515">
        <f>'Ekonomiskā analīze'!D$21+'Ekonomiskā analīze'!D$17*'Jutīguma analīze_EA'!$B49</f>
        <v>-505128.5</v>
      </c>
      <c r="F49" s="515">
        <f>'Ekonomiskā analīze'!E$21+'Ekonomiskā analīze'!E$17*'Jutīguma analīze_EA'!$B49</f>
        <v>29716.867801467524</v>
      </c>
      <c r="G49" s="515">
        <f>'Ekonomiskā analīze'!F$21+'Ekonomiskā analīze'!F$17*'Jutīguma analīze_EA'!$B49</f>
        <v>49723.562160130445</v>
      </c>
      <c r="H49" s="515">
        <f>'Ekonomiskā analīze'!G$21+'Ekonomiskā analīze'!G$17*'Jutīguma analīze_EA'!$B49</f>
        <v>84726.736030593005</v>
      </c>
      <c r="I49" s="515">
        <f>'Ekonomiskā analīze'!H$21+'Ekonomiskā analīze'!H$17*'Jutīguma analīze_EA'!$B49</f>
        <v>115383.08945353526</v>
      </c>
      <c r="J49" s="515">
        <f>'Ekonomiskā analīze'!I$21+'Ekonomiskā analīze'!I$17*'Jutīguma analīze_EA'!$B49</f>
        <v>151008.17611288338</v>
      </c>
      <c r="K49" s="515">
        <f>'Ekonomiskā analīze'!J$21+'Ekonomiskā analīze'!J$17*'Jutīguma analīze_EA'!$B49</f>
        <v>157468.10528950224</v>
      </c>
      <c r="L49" s="515">
        <f>'Ekonomiskā analīze'!K$21+'Ekonomiskā analīze'!K$17*'Jutīguma analīze_EA'!$B49</f>
        <v>160111.08701357909</v>
      </c>
      <c r="M49" s="515">
        <f>'Ekonomiskā analīze'!L$21+'Ekonomiskā analīze'!L$17*'Jutīguma analīze_EA'!$B49</f>
        <v>160106.49867238884</v>
      </c>
      <c r="N49" s="515">
        <f>'Ekonomiskā analīze'!M$21+'Ekonomiskā analīze'!M$17*'Jutīguma analīze_EA'!$B49</f>
        <v>160438.41126301422</v>
      </c>
      <c r="O49" s="515">
        <f>'Ekonomiskā analīze'!N$21+'Ekonomiskā analīze'!N$17*'Jutīguma analīze_EA'!$B49</f>
        <v>160256.27707815624</v>
      </c>
      <c r="P49" s="515">
        <f>'Ekonomiskā analīze'!O$21+'Ekonomiskā analīze'!O$17*'Jutīguma analīze_EA'!$B49</f>
        <v>158647.86053478922</v>
      </c>
      <c r="Q49" s="515">
        <f>'Ekonomiskā analīze'!P$21+'Ekonomiskā analīze'!P$17*'Jutīguma analīze_EA'!$B49</f>
        <v>162081.70312272158</v>
      </c>
      <c r="R49" s="515">
        <f>'Ekonomiskā analīze'!Q$21+'Ekonomiskā analīze'!Q$17*'Jutīguma analīze_EA'!$B49</f>
        <v>168186.85028481504</v>
      </c>
      <c r="S49" s="515">
        <f>'Ekonomiskā analīze'!R$21+'Ekonomiskā analīze'!R$17*'Jutīguma analīze_EA'!$B49</f>
        <v>195944.19245743658</v>
      </c>
      <c r="T49" s="515">
        <f>'Ekonomiskā analīze'!S$21+'Ekonomiskā analīze'!S$17*'Jutīguma analīze_EA'!$B49</f>
        <v>204486.83618630408</v>
      </c>
      <c r="U49" s="515">
        <f>'Ekonomiskā analīze'!T$21+'Ekonomiskā analīze'!T$17*'Jutīguma analīze_EA'!$B49</f>
        <v>203713.24822494044</v>
      </c>
      <c r="V49" s="515">
        <f>'Ekonomiskā analīze'!U$21+'Ekonomiskā analīze'!U$17*'Jutīguma analīze_EA'!$B49</f>
        <v>207940.23844087351</v>
      </c>
      <c r="W49" s="515">
        <f>'Ekonomiskā analīze'!V$21+'Ekonomiskā analīze'!V$17*'Jutīguma analīze_EA'!$B49</f>
        <v>219199.97554099854</v>
      </c>
      <c r="X49" s="515">
        <f>'Ekonomiskā analīze'!W$21+'Ekonomiskā analīze'!W$17*'Jutīguma analīze_EA'!$B49</f>
        <v>223390.46482511546</v>
      </c>
      <c r="Y49" s="515">
        <f>'Ekonomiskā analīze'!X$21+'Ekonomiskā analīze'!X$17*'Jutīguma analīze_EA'!$B49</f>
        <v>230343.85028449923</v>
      </c>
      <c r="Z49" s="515">
        <f>'Ekonomiskā analīze'!Y$21+'Ekonomiskā analīze'!Y$17*'Jutīguma analīze_EA'!$B49</f>
        <v>234534.33956861665</v>
      </c>
      <c r="AA49" s="515">
        <f>'Ekonomiskā analīze'!Z$21+'Ekonomiskā analīze'!Z$17*'Jutīguma analīze_EA'!$B49</f>
        <v>238366.0536800042</v>
      </c>
      <c r="AB49" s="515">
        <f>'Ekonomiskā analīze'!AA$21+'Ekonomiskā analīze'!AA$17*'Jutīguma analīze_EA'!$B49</f>
        <v>242903.39533612039</v>
      </c>
      <c r="AC49" s="515">
        <f>'Ekonomiskā analīze'!AB$21+'Ekonomiskā analīze'!AB$17*'Jutīguma analīze_EA'!$B49</f>
        <v>244781.24412623982</v>
      </c>
      <c r="AD49" s="515">
        <f>'Ekonomiskā analīze'!AC$21+'Ekonomiskā analīze'!AC$17*'Jutīguma analīze_EA'!$B49</f>
        <v>215038.93850959436</v>
      </c>
      <c r="AE49" s="515">
        <f>'Ekonomiskā analīze'!AD$21+'Ekonomiskā analīze'!AD$17*'Jutīguma analīze_EA'!$B49</f>
        <v>150050.43350703316</v>
      </c>
      <c r="AF49" s="515">
        <f>'Ekonomiskā analīze'!AE$21+'Ekonomiskā analīze'!AE$17*'Jutīguma analīze_EA'!$B49</f>
        <v>151131.73228988034</v>
      </c>
      <c r="AG49" s="515">
        <f>'Ekonomiskā analīze'!AF$21+'Ekonomiskā analīze'!AF$17*'Jutīguma analīze_EA'!$B49</f>
        <v>144678.17556234263</v>
      </c>
      <c r="AH49" s="515">
        <f>'Ekonomiskā analīze'!AG$21+'Ekonomiskā analīze'!AG$17*'Jutīguma analīze_EA'!$B49</f>
        <v>696203.69612649537</v>
      </c>
      <c r="AI49" s="515">
        <f>'Ekonomiskā analīze'!AH$21+'Ekonomiskā analīze'!AH$17*'Jutīguma analīze_EA'!$B49</f>
        <v>150451.21669064806</v>
      </c>
    </row>
    <row r="50" spans="1:35" ht="12.75" x14ac:dyDescent="0.2">
      <c r="A50" s="795"/>
      <c r="B50" s="115">
        <v>-0.1</v>
      </c>
      <c r="C50" s="515">
        <f>'Ekonomiskā analīze'!B$21+'Ekonomiskā analīze'!B$17*'Jutīguma analīze_EA'!$B50</f>
        <v>-591813.79999999993</v>
      </c>
      <c r="D50" s="515">
        <f>'Ekonomiskā analīze'!C$21+'Ekonomiskā analīze'!C$17*'Jutīguma analīze_EA'!$B50</f>
        <v>-332778.46999999997</v>
      </c>
      <c r="E50" s="515">
        <f>'Ekonomiskā analīze'!D$21+'Ekonomiskā analīze'!D$17*'Jutīguma analīze_EA'!$B50</f>
        <v>-505923</v>
      </c>
      <c r="F50" s="515">
        <f>'Ekonomiskā analīze'!E$21+'Ekonomiskā analīze'!E$17*'Jutīguma analīze_EA'!$B50</f>
        <v>29716.867801467524</v>
      </c>
      <c r="G50" s="515">
        <f>'Ekonomiskā analīze'!F$21+'Ekonomiskā analīze'!F$17*'Jutīguma analīze_EA'!$B50</f>
        <v>49723.562160130445</v>
      </c>
      <c r="H50" s="515">
        <f>'Ekonomiskā analīze'!G$21+'Ekonomiskā analīze'!G$17*'Jutīguma analīze_EA'!$B50</f>
        <v>84726.736030593005</v>
      </c>
      <c r="I50" s="515">
        <f>'Ekonomiskā analīze'!H$21+'Ekonomiskā analīze'!H$17*'Jutīguma analīze_EA'!$B50</f>
        <v>115383.08945353526</v>
      </c>
      <c r="J50" s="515">
        <f>'Ekonomiskā analīze'!I$21+'Ekonomiskā analīze'!I$17*'Jutīguma analīze_EA'!$B50</f>
        <v>151008.17611288338</v>
      </c>
      <c r="K50" s="515">
        <f>'Ekonomiskā analīze'!J$21+'Ekonomiskā analīze'!J$17*'Jutīguma analīze_EA'!$B50</f>
        <v>157468.10528950224</v>
      </c>
      <c r="L50" s="515">
        <f>'Ekonomiskā analīze'!K$21+'Ekonomiskā analīze'!K$17*'Jutīguma analīze_EA'!$B50</f>
        <v>160111.08701357909</v>
      </c>
      <c r="M50" s="515">
        <f>'Ekonomiskā analīze'!L$21+'Ekonomiskā analīze'!L$17*'Jutīguma analīze_EA'!$B50</f>
        <v>160106.49867238884</v>
      </c>
      <c r="N50" s="515">
        <f>'Ekonomiskā analīze'!M$21+'Ekonomiskā analīze'!M$17*'Jutīguma analīze_EA'!$B50</f>
        <v>160438.41126301422</v>
      </c>
      <c r="O50" s="515">
        <f>'Ekonomiskā analīze'!N$21+'Ekonomiskā analīze'!N$17*'Jutīguma analīze_EA'!$B50</f>
        <v>160256.27707815624</v>
      </c>
      <c r="P50" s="515">
        <f>'Ekonomiskā analīze'!O$21+'Ekonomiskā analīze'!O$17*'Jutīguma analīze_EA'!$B50</f>
        <v>158647.86053478922</v>
      </c>
      <c r="Q50" s="515">
        <f>'Ekonomiskā analīze'!P$21+'Ekonomiskā analīze'!P$17*'Jutīguma analīze_EA'!$B50</f>
        <v>162081.70312272158</v>
      </c>
      <c r="R50" s="515">
        <f>'Ekonomiskā analīze'!Q$21+'Ekonomiskā analīze'!Q$17*'Jutīguma analīze_EA'!$B50</f>
        <v>168186.85028481504</v>
      </c>
      <c r="S50" s="515">
        <f>'Ekonomiskā analīze'!R$21+'Ekonomiskā analīze'!R$17*'Jutīguma analīze_EA'!$B50</f>
        <v>195944.19245743658</v>
      </c>
      <c r="T50" s="515">
        <f>'Ekonomiskā analīze'!S$21+'Ekonomiskā analīze'!S$17*'Jutīguma analīze_EA'!$B50</f>
        <v>204486.83618630408</v>
      </c>
      <c r="U50" s="515">
        <f>'Ekonomiskā analīze'!T$21+'Ekonomiskā analīze'!T$17*'Jutīguma analīze_EA'!$B50</f>
        <v>203713.24822494044</v>
      </c>
      <c r="V50" s="515">
        <f>'Ekonomiskā analīze'!U$21+'Ekonomiskā analīze'!U$17*'Jutīguma analīze_EA'!$B50</f>
        <v>207940.23844087351</v>
      </c>
      <c r="W50" s="515">
        <f>'Ekonomiskā analīze'!V$21+'Ekonomiskā analīze'!V$17*'Jutīguma analīze_EA'!$B50</f>
        <v>219199.97554099854</v>
      </c>
      <c r="X50" s="515">
        <f>'Ekonomiskā analīze'!W$21+'Ekonomiskā analīze'!W$17*'Jutīguma analīze_EA'!$B50</f>
        <v>223390.46482511546</v>
      </c>
      <c r="Y50" s="515">
        <f>'Ekonomiskā analīze'!X$21+'Ekonomiskā analīze'!X$17*'Jutīguma analīze_EA'!$B50</f>
        <v>230343.85028449923</v>
      </c>
      <c r="Z50" s="515">
        <f>'Ekonomiskā analīze'!Y$21+'Ekonomiskā analīze'!Y$17*'Jutīguma analīze_EA'!$B50</f>
        <v>234534.33956861665</v>
      </c>
      <c r="AA50" s="515">
        <f>'Ekonomiskā analīze'!Z$21+'Ekonomiskā analīze'!Z$17*'Jutīguma analīze_EA'!$B50</f>
        <v>238366.0536800042</v>
      </c>
      <c r="AB50" s="515">
        <f>'Ekonomiskā analīze'!AA$21+'Ekonomiskā analīze'!AA$17*'Jutīguma analīze_EA'!$B50</f>
        <v>242903.39533612039</v>
      </c>
      <c r="AC50" s="515">
        <f>'Ekonomiskā analīze'!AB$21+'Ekonomiskā analīze'!AB$17*'Jutīguma analīze_EA'!$B50</f>
        <v>244781.24412623982</v>
      </c>
      <c r="AD50" s="515">
        <f>'Ekonomiskā analīze'!AC$21+'Ekonomiskā analīze'!AC$17*'Jutīguma analīze_EA'!$B50</f>
        <v>215038.93850959436</v>
      </c>
      <c r="AE50" s="515">
        <f>'Ekonomiskā analīze'!AD$21+'Ekonomiskā analīze'!AD$17*'Jutīguma analīze_EA'!$B50</f>
        <v>150050.43350703316</v>
      </c>
      <c r="AF50" s="515">
        <f>'Ekonomiskā analīze'!AE$21+'Ekonomiskā analīze'!AE$17*'Jutīguma analīze_EA'!$B50</f>
        <v>151131.73228988034</v>
      </c>
      <c r="AG50" s="515">
        <f>'Ekonomiskā analīze'!AF$21+'Ekonomiskā analīze'!AF$17*'Jutīguma analīze_EA'!$B50</f>
        <v>144678.17556234263</v>
      </c>
      <c r="AH50" s="515">
        <f>'Ekonomiskā analīze'!AG$21+'Ekonomiskā analīze'!AG$17*'Jutīguma analīze_EA'!$B50</f>
        <v>696203.69612649537</v>
      </c>
      <c r="AI50" s="515">
        <f>'Ekonomiskā analīze'!AH$21+'Ekonomiskā analīze'!AH$17*'Jutīguma analīze_EA'!$B50</f>
        <v>150451.21669064806</v>
      </c>
    </row>
    <row r="51" spans="1:35" ht="12.75" x14ac:dyDescent="0.2">
      <c r="A51" s="504"/>
      <c r="B51" s="504"/>
      <c r="C51" s="508"/>
    </row>
    <row r="52" spans="1:35" ht="25.5" x14ac:dyDescent="0.2">
      <c r="A52" s="513"/>
      <c r="B52" s="514" t="s">
        <v>184</v>
      </c>
      <c r="C52" s="514">
        <f>C38</f>
        <v>2017</v>
      </c>
      <c r="D52" s="514">
        <f t="shared" ref="D52:AI52" si="2">D38</f>
        <v>2018</v>
      </c>
      <c r="E52" s="514">
        <f t="shared" si="2"/>
        <v>2019</v>
      </c>
      <c r="F52" s="514">
        <f t="shared" si="2"/>
        <v>2020</v>
      </c>
      <c r="G52" s="514">
        <f t="shared" si="2"/>
        <v>2021</v>
      </c>
      <c r="H52" s="514">
        <f t="shared" si="2"/>
        <v>2022</v>
      </c>
      <c r="I52" s="514">
        <f t="shared" si="2"/>
        <v>2023</v>
      </c>
      <c r="J52" s="514">
        <f t="shared" si="2"/>
        <v>2024</v>
      </c>
      <c r="K52" s="514">
        <f t="shared" si="2"/>
        <v>2025</v>
      </c>
      <c r="L52" s="514">
        <f t="shared" si="2"/>
        <v>2026</v>
      </c>
      <c r="M52" s="514">
        <f t="shared" si="2"/>
        <v>2027</v>
      </c>
      <c r="N52" s="514">
        <f t="shared" si="2"/>
        <v>2028</v>
      </c>
      <c r="O52" s="514">
        <f t="shared" si="2"/>
        <v>2029</v>
      </c>
      <c r="P52" s="514">
        <f t="shared" si="2"/>
        <v>2030</v>
      </c>
      <c r="Q52" s="514">
        <f t="shared" si="2"/>
        <v>2031</v>
      </c>
      <c r="R52" s="514">
        <f t="shared" si="2"/>
        <v>2032</v>
      </c>
      <c r="S52" s="514">
        <f t="shared" si="2"/>
        <v>2033</v>
      </c>
      <c r="T52" s="514">
        <f t="shared" si="2"/>
        <v>2034</v>
      </c>
      <c r="U52" s="514">
        <f t="shared" si="2"/>
        <v>2035</v>
      </c>
      <c r="V52" s="514">
        <f t="shared" si="2"/>
        <v>2036</v>
      </c>
      <c r="W52" s="514">
        <f t="shared" si="2"/>
        <v>2037</v>
      </c>
      <c r="X52" s="514">
        <f t="shared" si="2"/>
        <v>2038</v>
      </c>
      <c r="Y52" s="514">
        <f t="shared" si="2"/>
        <v>2039</v>
      </c>
      <c r="Z52" s="514">
        <f t="shared" si="2"/>
        <v>2040</v>
      </c>
      <c r="AA52" s="514">
        <f t="shared" si="2"/>
        <v>2041</v>
      </c>
      <c r="AB52" s="514">
        <f t="shared" si="2"/>
        <v>2042</v>
      </c>
      <c r="AC52" s="514">
        <f t="shared" si="2"/>
        <v>2043</v>
      </c>
      <c r="AD52" s="514">
        <f t="shared" si="2"/>
        <v>2044</v>
      </c>
      <c r="AE52" s="514">
        <f t="shared" si="2"/>
        <v>2045</v>
      </c>
      <c r="AF52" s="514">
        <f t="shared" si="2"/>
        <v>2046</v>
      </c>
      <c r="AG52" s="514">
        <f t="shared" si="2"/>
        <v>2047</v>
      </c>
      <c r="AH52" s="514">
        <f t="shared" si="2"/>
        <v>2048</v>
      </c>
      <c r="AI52" s="514">
        <f t="shared" si="2"/>
        <v>2049</v>
      </c>
    </row>
    <row r="53" spans="1:35" ht="12.75" x14ac:dyDescent="0.2">
      <c r="A53" s="792" t="s">
        <v>143</v>
      </c>
      <c r="B53" s="777"/>
      <c r="C53" s="777"/>
      <c r="D53" s="777"/>
      <c r="E53" s="777"/>
      <c r="F53" s="777"/>
      <c r="G53" s="777"/>
      <c r="H53" s="777"/>
      <c r="I53" s="777"/>
      <c r="J53" s="777"/>
      <c r="K53" s="777"/>
      <c r="L53" s="777"/>
      <c r="M53" s="777"/>
      <c r="N53" s="777"/>
      <c r="O53" s="777"/>
      <c r="P53" s="777"/>
      <c r="Q53" s="777"/>
      <c r="R53" s="777"/>
      <c r="S53" s="777"/>
      <c r="T53" s="777"/>
      <c r="U53" s="777"/>
      <c r="V53" s="777"/>
      <c r="W53" s="777"/>
      <c r="X53" s="777"/>
      <c r="Y53" s="777"/>
      <c r="Z53" s="777"/>
      <c r="AA53" s="777"/>
      <c r="AB53" s="777"/>
      <c r="AC53" s="777"/>
      <c r="AD53" s="777"/>
      <c r="AE53" s="777"/>
      <c r="AF53" s="777"/>
      <c r="AG53" s="777"/>
      <c r="AH53" s="777"/>
      <c r="AI53" s="777"/>
    </row>
    <row r="54" spans="1:35" ht="12.75" x14ac:dyDescent="0.2">
      <c r="A54" s="793"/>
      <c r="B54" s="115">
        <v>0.1</v>
      </c>
      <c r="C54" s="515">
        <f>'Ekonomiskā analīze'!B$21+'Ekonomiskā analīze'!B$18*'Jutīguma analīze_EA'!$B54</f>
        <v>-591813.79999999993</v>
      </c>
      <c r="D54" s="515">
        <f>'Ekonomiskā analīze'!C$21+'Ekonomiskā analīze'!C$18*'Jutīguma analīze_EA'!$B54</f>
        <v>-329600.46999999997</v>
      </c>
      <c r="E54" s="515">
        <f>'Ekonomiskā analīze'!D$21+'Ekonomiskā analīze'!D$18*'Jutīguma analīze_EA'!$B54</f>
        <v>-502745</v>
      </c>
      <c r="F54" s="515">
        <f>'Ekonomiskā analīze'!E$21+'Ekonomiskā analīze'!E$18*'Jutīguma analīze_EA'!$B54</f>
        <v>29865.3186938045</v>
      </c>
      <c r="G54" s="515">
        <f>'Ekonomiskā analīze'!F$21+'Ekonomiskā analīze'!F$18*'Jutīguma analīze_EA'!$B54</f>
        <v>49949.970264225027</v>
      </c>
      <c r="H54" s="515">
        <f>'Ekonomiskā analīze'!G$21+'Ekonomiskā analīze'!G$18*'Jutīguma analīze_EA'!$B54</f>
        <v>85033.438875973778</v>
      </c>
      <c r="I54" s="515">
        <f>'Ekonomiskā analīze'!H$21+'Ekonomiskā analīze'!H$18*'Jutīguma analīze_EA'!$B54</f>
        <v>115695.38313544069</v>
      </c>
      <c r="J54" s="515">
        <f>'Ekonomiskā analīze'!I$21+'Ekonomiskā analīze'!I$18*'Jutīguma analīze_EA'!$B54</f>
        <v>151326.06463131346</v>
      </c>
      <c r="K54" s="515">
        <f>'Ekonomiskā analīze'!J$21+'Ekonomiskā analīze'!J$18*'Jutīguma analīze_EA'!$B54</f>
        <v>157791.47464445699</v>
      </c>
      <c r="L54" s="515">
        <f>'Ekonomiskā analīze'!K$21+'Ekonomiskā analīze'!K$18*'Jutīguma analīze_EA'!$B54</f>
        <v>160439.93720505849</v>
      </c>
      <c r="M54" s="515">
        <f>'Ekonomiskā analīze'!L$21+'Ekonomiskā analīze'!L$18*'Jutīguma analīze_EA'!$B54</f>
        <v>160661.99158469291</v>
      </c>
      <c r="N54" s="515">
        <f>'Ekonomiskā analīze'!M$21+'Ekonomiskā analīze'!M$18*'Jutīguma analīze_EA'!$B54</f>
        <v>161220.54689614294</v>
      </c>
      <c r="O54" s="515">
        <f>'Ekonomiskā analīze'!N$21+'Ekonomiskā analīze'!N$18*'Jutīguma analīze_EA'!$B54</f>
        <v>161265.05543210963</v>
      </c>
      <c r="P54" s="515">
        <f>'Ekonomiskā analīze'!O$21+'Ekonomiskā analīze'!O$18*'Jutīguma analīze_EA'!$B54</f>
        <v>159664.86014352957</v>
      </c>
      <c r="Q54" s="515">
        <f>'Ekonomiskā analīze'!P$21+'Ekonomiskā analīze'!P$18*'Jutīguma analīze_EA'!$B54</f>
        <v>163106.92398624893</v>
      </c>
      <c r="R54" s="515">
        <f>'Ekonomiskā analīze'!Q$21+'Ekonomiskā analīze'!Q$18*'Jutīguma analīze_EA'!$B54</f>
        <v>169220.29240312937</v>
      </c>
      <c r="S54" s="515">
        <f>'Ekonomiskā analīze'!R$21+'Ekonomiskā analīze'!R$18*'Jutīguma analīze_EA'!$B54</f>
        <v>194363.85583053788</v>
      </c>
      <c r="T54" s="515">
        <f>'Ekonomiskā analīze'!S$21+'Ekonomiskā analīze'!S$18*'Jutīguma analīze_EA'!$B54</f>
        <v>202857.72081419238</v>
      </c>
      <c r="U54" s="515">
        <f>'Ekonomiskā analīze'!T$21+'Ekonomiskā analīze'!T$18*'Jutīguma analīze_EA'!$B54</f>
        <v>202035.35410761574</v>
      </c>
      <c r="V54" s="515">
        <f>'Ekonomiskā analīze'!U$21+'Ekonomiskā analīze'!U$18*'Jutīguma analīze_EA'!$B54</f>
        <v>206213.56557833578</v>
      </c>
      <c r="W54" s="515">
        <f>'Ekonomiskā analīze'!V$21+'Ekonomiskā analīze'!V$18*'Jutīguma analīze_EA'!$B54</f>
        <v>216674.52393324778</v>
      </c>
      <c r="X54" s="515">
        <f>'Ekonomiskā analīze'!W$21+'Ekonomiskā analīze'!W$18*'Jutīguma analīze_EA'!$B54</f>
        <v>220801.2344721517</v>
      </c>
      <c r="Y54" s="515">
        <f>'Ekonomiskā analīze'!X$21+'Ekonomiskā analīze'!X$18*'Jutīguma analīze_EA'!$B54</f>
        <v>227690.84118632248</v>
      </c>
      <c r="Z54" s="515">
        <f>'Ekonomiskā analīze'!Y$21+'Ekonomiskā analīze'!Y$18*'Jutīguma analīze_EA'!$B54</f>
        <v>231817.55172522686</v>
      </c>
      <c r="AA54" s="515">
        <f>'Ekonomiskā analīze'!Z$21+'Ekonomiskā analīze'!Z$18*'Jutīguma analīze_EA'!$B54</f>
        <v>235585.48709140139</v>
      </c>
      <c r="AB54" s="515">
        <f>'Ekonomiskā analīze'!AA$21+'Ekonomiskā analīze'!AA$18*'Jutīguma analīze_EA'!$B54</f>
        <v>240059.05000230458</v>
      </c>
      <c r="AC54" s="515">
        <f>'Ekonomiskā analīze'!AB$21+'Ekonomiskā analīze'!AB$18*'Jutīguma analīze_EA'!$B54</f>
        <v>242094.28193151098</v>
      </c>
      <c r="AD54" s="515">
        <f>'Ekonomiskā analīze'!AC$21+'Ekonomiskā analīze'!AC$18*'Jutīguma analīze_EA'!$B54</f>
        <v>215929.35945395252</v>
      </c>
      <c r="AE54" s="515">
        <f>'Ekonomiskā analīze'!AD$21+'Ekonomiskā analīze'!AD$18*'Jutīguma analīze_EA'!$B54</f>
        <v>159336.2375904783</v>
      </c>
      <c r="AF54" s="515">
        <f>'Ekonomiskā analīze'!AE$21+'Ekonomiskā analīze'!AE$18*'Jutīguma analīze_EA'!$B54</f>
        <v>160775.91951241245</v>
      </c>
      <c r="AG54" s="515">
        <f>'Ekonomiskā analīze'!AF$21+'Ekonomiskā analīze'!AF$18*'Jutīguma analīze_EA'!$B54</f>
        <v>154505.32445792406</v>
      </c>
      <c r="AH54" s="515">
        <f>'Ekonomiskā analīze'!AG$21+'Ekonomiskā analīze'!AG$18*'Jutīguma analīze_EA'!$B54</f>
        <v>706213.80669512611</v>
      </c>
      <c r="AI54" s="515">
        <f>'Ekonomiskā analīze'!AH$21+'Ekonomiskā analīze'!AH$18*'Jutīguma analīze_EA'!$B54</f>
        <v>160644.28893232811</v>
      </c>
    </row>
    <row r="55" spans="1:35" ht="12.75" x14ac:dyDescent="0.2">
      <c r="A55" s="794"/>
      <c r="B55" s="115">
        <v>7.4999999999999997E-2</v>
      </c>
      <c r="C55" s="515">
        <f>'Ekonomiskā analīze'!B$21+'Ekonomiskā analīze'!B$18*'Jutīguma analīze_EA'!$B55</f>
        <v>-591813.79999999993</v>
      </c>
      <c r="D55" s="515">
        <f>'Ekonomiskā analīze'!C$21+'Ekonomiskā analīze'!C$18*'Jutīguma analīze_EA'!$B55</f>
        <v>-329600.46999999997</v>
      </c>
      <c r="E55" s="515">
        <f>'Ekonomiskā analīze'!D$21+'Ekonomiskā analīze'!D$18*'Jutīguma analīze_EA'!$B55</f>
        <v>-502745</v>
      </c>
      <c r="F55" s="515">
        <f>'Ekonomiskā analīze'!E$21+'Ekonomiskā analīze'!E$18*'Jutīguma analīze_EA'!$B55</f>
        <v>29828.205970720257</v>
      </c>
      <c r="G55" s="515">
        <f>'Ekonomiskā analīze'!F$21+'Ekonomiskā analīze'!F$18*'Jutīguma analīze_EA'!$B55</f>
        <v>49893.368238201379</v>
      </c>
      <c r="H55" s="515">
        <f>'Ekonomiskā analīze'!G$21+'Ekonomiskā analīze'!G$18*'Jutīguma analīze_EA'!$B55</f>
        <v>84956.763164628588</v>
      </c>
      <c r="I55" s="515">
        <f>'Ekonomiskā analīze'!H$21+'Ekonomiskā analīze'!H$18*'Jutīguma analīze_EA'!$B55</f>
        <v>115617.30971496433</v>
      </c>
      <c r="J55" s="515">
        <f>'Ekonomiskā analīze'!I$21+'Ekonomiskā analīze'!I$18*'Jutīguma analīze_EA'!$B55</f>
        <v>151246.59250170595</v>
      </c>
      <c r="K55" s="515">
        <f>'Ekonomiskā analīze'!J$21+'Ekonomiskā analīze'!J$18*'Jutīguma analīze_EA'!$B55</f>
        <v>157710.63230571832</v>
      </c>
      <c r="L55" s="515">
        <f>'Ekonomiskā analīze'!K$21+'Ekonomiskā analīze'!K$18*'Jutīguma analīze_EA'!$B55</f>
        <v>160357.72465718864</v>
      </c>
      <c r="M55" s="515">
        <f>'Ekonomiskā analīze'!L$21+'Ekonomiskā analīze'!L$18*'Jutīguma analīze_EA'!$B55</f>
        <v>160523.11835661688</v>
      </c>
      <c r="N55" s="515">
        <f>'Ekonomiskā analīze'!M$21+'Ekonomiskā analīze'!M$18*'Jutīguma analīze_EA'!$B55</f>
        <v>161025.01298786077</v>
      </c>
      <c r="O55" s="515">
        <f>'Ekonomiskā analīze'!N$21+'Ekonomiskā analīze'!N$18*'Jutīguma analīze_EA'!$B55</f>
        <v>161012.86084362128</v>
      </c>
      <c r="P55" s="515">
        <f>'Ekonomiskā analīze'!O$21+'Ekonomiskā analīze'!O$18*'Jutīguma analīze_EA'!$B55</f>
        <v>159410.61024134449</v>
      </c>
      <c r="Q55" s="515">
        <f>'Ekonomiskā analīze'!P$21+'Ekonomiskā analīze'!P$18*'Jutīguma analīze_EA'!$B55</f>
        <v>162850.61877036709</v>
      </c>
      <c r="R55" s="515">
        <f>'Ekonomiskā analīze'!Q$21+'Ekonomiskā analīze'!Q$18*'Jutīguma analīze_EA'!$B55</f>
        <v>168961.93187355078</v>
      </c>
      <c r="S55" s="515">
        <f>'Ekonomiskā analīze'!R$21+'Ekonomiskā analīze'!R$18*'Jutīguma analīze_EA'!$B55</f>
        <v>194758.93998726257</v>
      </c>
      <c r="T55" s="515">
        <f>'Ekonomiskā analīze'!S$21+'Ekonomiskā analīze'!S$18*'Jutīguma analīze_EA'!$B55</f>
        <v>203264.99965722029</v>
      </c>
      <c r="U55" s="515">
        <f>'Ekonomiskā analīze'!T$21+'Ekonomiskā analīze'!T$18*'Jutīguma analīze_EA'!$B55</f>
        <v>202454.82763694689</v>
      </c>
      <c r="V55" s="515">
        <f>'Ekonomiskā analīze'!U$21+'Ekonomiskā analīze'!U$18*'Jutīguma analīze_EA'!$B55</f>
        <v>206645.2337939702</v>
      </c>
      <c r="W55" s="515">
        <f>'Ekonomiskā analīze'!V$21+'Ekonomiskā analīze'!V$18*'Jutīguma analīze_EA'!$B55</f>
        <v>217305.88683518549</v>
      </c>
      <c r="X55" s="515">
        <f>'Ekonomiskā analīze'!W$21+'Ekonomiskā analīze'!W$18*'Jutīguma analīze_EA'!$B55</f>
        <v>221448.54206039265</v>
      </c>
      <c r="Y55" s="515">
        <f>'Ekonomiskā analīze'!X$21+'Ekonomiskā analīze'!X$18*'Jutīguma analīze_EA'!$B55</f>
        <v>228354.09346086666</v>
      </c>
      <c r="Z55" s="515">
        <f>'Ekonomiskā analīze'!Y$21+'Ekonomiskā analīze'!Y$18*'Jutīguma analīze_EA'!$B55</f>
        <v>232496.74868607431</v>
      </c>
      <c r="AA55" s="515">
        <f>'Ekonomiskā analīze'!Z$21+'Ekonomiskā analīze'!Z$18*'Jutīguma analīze_EA'!$B55</f>
        <v>236280.6287385521</v>
      </c>
      <c r="AB55" s="515">
        <f>'Ekonomiskā analīze'!AA$21+'Ekonomiskā analīze'!AA$18*'Jutīguma analīze_EA'!$B55</f>
        <v>240770.13633575852</v>
      </c>
      <c r="AC55" s="515">
        <f>'Ekonomiskā analīze'!AB$21+'Ekonomiskā analīze'!AB$18*'Jutīguma analīze_EA'!$B55</f>
        <v>242766.02248019321</v>
      </c>
      <c r="AD55" s="515">
        <f>'Ekonomiskā analīze'!AC$21+'Ekonomiskā analīze'!AC$18*'Jutīguma analīze_EA'!$B55</f>
        <v>215706.75421786297</v>
      </c>
      <c r="AE55" s="515">
        <f>'Ekonomiskā analīze'!AD$21+'Ekonomiskā analīze'!AD$18*'Jutīguma analīze_EA'!$B55</f>
        <v>157014.78656961702</v>
      </c>
      <c r="AF55" s="515">
        <f>'Ekonomiskā analīze'!AE$21+'Ekonomiskā analīze'!AE$18*'Jutīguma analīze_EA'!$B55</f>
        <v>158364.87270677942</v>
      </c>
      <c r="AG55" s="515">
        <f>'Ekonomiskā analīze'!AF$21+'Ekonomiskā analīze'!AF$18*'Jutīguma analīze_EA'!$B55</f>
        <v>152048.53723402871</v>
      </c>
      <c r="AH55" s="515">
        <f>'Ekonomiskā analīze'!AG$21+'Ekonomiskā analīze'!AG$18*'Jutīguma analīze_EA'!$B55</f>
        <v>703711.27905296849</v>
      </c>
      <c r="AI55" s="515">
        <f>'Ekonomiskā analīze'!AH$21+'Ekonomiskā analīze'!AH$18*'Jutīguma analīze_EA'!$B55</f>
        <v>158096.02087190811</v>
      </c>
    </row>
    <row r="56" spans="1:35" ht="12.75" x14ac:dyDescent="0.2">
      <c r="A56" s="794"/>
      <c r="B56" s="115">
        <v>0.05</v>
      </c>
      <c r="C56" s="515">
        <f>'Ekonomiskā analīze'!B$21+'Ekonomiskā analīze'!B$18*'Jutīguma analīze_EA'!$B56</f>
        <v>-591813.79999999993</v>
      </c>
      <c r="D56" s="515">
        <f>'Ekonomiskā analīze'!C$21+'Ekonomiskā analīze'!C$18*'Jutīguma analīze_EA'!$B56</f>
        <v>-329600.46999999997</v>
      </c>
      <c r="E56" s="515">
        <f>'Ekonomiskā analīze'!D$21+'Ekonomiskā analīze'!D$18*'Jutīguma analīze_EA'!$B56</f>
        <v>-502745</v>
      </c>
      <c r="F56" s="515">
        <f>'Ekonomiskā analīze'!E$21+'Ekonomiskā analīze'!E$18*'Jutīguma analīze_EA'!$B56</f>
        <v>29791.09324763601</v>
      </c>
      <c r="G56" s="515">
        <f>'Ekonomiskā analīze'!F$21+'Ekonomiskā analīze'!F$18*'Jutīguma analīze_EA'!$B56</f>
        <v>49836.766212177732</v>
      </c>
      <c r="H56" s="515">
        <f>'Ekonomiskā analīze'!G$21+'Ekonomiskā analīze'!G$18*'Jutīguma analīze_EA'!$B56</f>
        <v>84880.087453283399</v>
      </c>
      <c r="I56" s="515">
        <f>'Ekonomiskā analīze'!H$21+'Ekonomiskā analīze'!H$18*'Jutīguma analīze_EA'!$B56</f>
        <v>115539.23629448797</v>
      </c>
      <c r="J56" s="515">
        <f>'Ekonomiskā analīze'!I$21+'Ekonomiskā analīze'!I$18*'Jutīguma analīze_EA'!$B56</f>
        <v>151167.1203720984</v>
      </c>
      <c r="K56" s="515">
        <f>'Ekonomiskā analīze'!J$21+'Ekonomiskā analīze'!J$18*'Jutīguma analīze_EA'!$B56</f>
        <v>157629.78996697962</v>
      </c>
      <c r="L56" s="515">
        <f>'Ekonomiskā analīze'!K$21+'Ekonomiskā analīze'!K$18*'Jutīguma analīze_EA'!$B56</f>
        <v>160275.51210931881</v>
      </c>
      <c r="M56" s="515">
        <f>'Ekonomiskā analīze'!L$21+'Ekonomiskā analīze'!L$18*'Jutīguma analīze_EA'!$B56</f>
        <v>160384.24512854088</v>
      </c>
      <c r="N56" s="515">
        <f>'Ekonomiskā analīze'!M$21+'Ekonomiskā analīze'!M$18*'Jutīguma analīze_EA'!$B56</f>
        <v>160829.47907957857</v>
      </c>
      <c r="O56" s="515">
        <f>'Ekonomiskā analīze'!N$21+'Ekonomiskā analīze'!N$18*'Jutīguma analīze_EA'!$B56</f>
        <v>160760.66625513294</v>
      </c>
      <c r="P56" s="515">
        <f>'Ekonomiskā analīze'!O$21+'Ekonomiskā analīze'!O$18*'Jutīguma analīze_EA'!$B56</f>
        <v>159156.36033915938</v>
      </c>
      <c r="Q56" s="515">
        <f>'Ekonomiskā analīze'!P$21+'Ekonomiskā analīze'!P$18*'Jutīguma analīze_EA'!$B56</f>
        <v>162594.31355448524</v>
      </c>
      <c r="R56" s="515">
        <f>'Ekonomiskā analīze'!Q$21+'Ekonomiskā analīze'!Q$18*'Jutīguma analīze_EA'!$B56</f>
        <v>168703.5713439722</v>
      </c>
      <c r="S56" s="515">
        <f>'Ekonomiskā analīze'!R$21+'Ekonomiskā analīze'!R$18*'Jutīguma analīze_EA'!$B56</f>
        <v>195154.02414398725</v>
      </c>
      <c r="T56" s="515">
        <f>'Ekonomiskā analīze'!S$21+'Ekonomiskā analīze'!S$18*'Jutīguma analīze_EA'!$B56</f>
        <v>203672.27850024821</v>
      </c>
      <c r="U56" s="515">
        <f>'Ekonomiskā analīze'!T$21+'Ekonomiskā analīze'!T$18*'Jutīguma analīze_EA'!$B56</f>
        <v>202874.30116627808</v>
      </c>
      <c r="V56" s="515">
        <f>'Ekonomiskā analīze'!U$21+'Ekonomiskā analīze'!U$18*'Jutīguma analīze_EA'!$B56</f>
        <v>207076.90200960464</v>
      </c>
      <c r="W56" s="515">
        <f>'Ekonomiskā analīze'!V$21+'Ekonomiskā analīze'!V$18*'Jutīguma analīze_EA'!$B56</f>
        <v>217937.24973712317</v>
      </c>
      <c r="X56" s="515">
        <f>'Ekonomiskā analīze'!W$21+'Ekonomiskā analīze'!W$18*'Jutīguma analīze_EA'!$B56</f>
        <v>222095.84964863356</v>
      </c>
      <c r="Y56" s="515">
        <f>'Ekonomiskā analīze'!X$21+'Ekonomiskā analīze'!X$18*'Jutīguma analīze_EA'!$B56</f>
        <v>229017.34573541084</v>
      </c>
      <c r="Z56" s="515">
        <f>'Ekonomiskā analīze'!Y$21+'Ekonomiskā analīze'!Y$18*'Jutīguma analīze_EA'!$B56</f>
        <v>233175.94564692175</v>
      </c>
      <c r="AA56" s="515">
        <f>'Ekonomiskā analīze'!Z$21+'Ekonomiskā analīze'!Z$18*'Jutīguma analīze_EA'!$B56</f>
        <v>236975.77038570281</v>
      </c>
      <c r="AB56" s="515">
        <f>'Ekonomiskā analīze'!AA$21+'Ekonomiskā analīze'!AA$18*'Jutīguma analīze_EA'!$B56</f>
        <v>241481.2226692125</v>
      </c>
      <c r="AC56" s="515">
        <f>'Ekonomiskā analīze'!AB$21+'Ekonomiskā analīze'!AB$18*'Jutīguma analīze_EA'!$B56</f>
        <v>243437.7630288754</v>
      </c>
      <c r="AD56" s="515">
        <f>'Ekonomiskā analīze'!AC$21+'Ekonomiskā analīze'!AC$18*'Jutīguma analīze_EA'!$B56</f>
        <v>215484.14898177344</v>
      </c>
      <c r="AE56" s="515">
        <f>'Ekonomiskā analīze'!AD$21+'Ekonomiskā analīze'!AD$18*'Jutīguma analīze_EA'!$B56</f>
        <v>154693.33554875574</v>
      </c>
      <c r="AF56" s="515">
        <f>'Ekonomiskā analīze'!AE$21+'Ekonomiskā analīze'!AE$18*'Jutīguma analīze_EA'!$B56</f>
        <v>155953.8259011464</v>
      </c>
      <c r="AG56" s="515">
        <f>'Ekonomiskā analīze'!AF$21+'Ekonomiskā analīze'!AF$18*'Jutīguma analīze_EA'!$B56</f>
        <v>149591.75001013334</v>
      </c>
      <c r="AH56" s="515">
        <f>'Ekonomiskā analīze'!AG$21+'Ekonomiskā analīze'!AG$18*'Jutīguma analīze_EA'!$B56</f>
        <v>701208.75141081074</v>
      </c>
      <c r="AI56" s="515">
        <f>'Ekonomiskā analīze'!AH$21+'Ekonomiskā analīze'!AH$18*'Jutīguma analīze_EA'!$B56</f>
        <v>155547.75281148808</v>
      </c>
    </row>
    <row r="57" spans="1:35" ht="12.75" x14ac:dyDescent="0.2">
      <c r="A57" s="794"/>
      <c r="B57" s="115">
        <v>2.5000000000000001E-2</v>
      </c>
      <c r="C57" s="515">
        <f>'Ekonomiskā analīze'!B$21+'Ekonomiskā analīze'!B$18*'Jutīguma analīze_EA'!$B57</f>
        <v>-591813.79999999993</v>
      </c>
      <c r="D57" s="515">
        <f>'Ekonomiskā analīze'!C$21+'Ekonomiskā analīze'!C$18*'Jutīguma analīze_EA'!$B57</f>
        <v>-329600.46999999997</v>
      </c>
      <c r="E57" s="515">
        <f>'Ekonomiskā analīze'!D$21+'Ekonomiskā analīze'!D$18*'Jutīguma analīze_EA'!$B57</f>
        <v>-502745</v>
      </c>
      <c r="F57" s="515">
        <f>'Ekonomiskā analīze'!E$21+'Ekonomiskā analīze'!E$18*'Jutīguma analīze_EA'!$B57</f>
        <v>29753.980524551767</v>
      </c>
      <c r="G57" s="515">
        <f>'Ekonomiskā analīze'!F$21+'Ekonomiskā analīze'!F$18*'Jutīguma analīze_EA'!$B57</f>
        <v>49780.164186154092</v>
      </c>
      <c r="H57" s="515">
        <f>'Ekonomiskā analīze'!G$21+'Ekonomiskā analīze'!G$18*'Jutīguma analīze_EA'!$B57</f>
        <v>84803.411741938195</v>
      </c>
      <c r="I57" s="515">
        <f>'Ekonomiskā analīze'!H$21+'Ekonomiskā analīze'!H$18*'Jutīguma analīze_EA'!$B57</f>
        <v>115461.16287401161</v>
      </c>
      <c r="J57" s="515">
        <f>'Ekonomiskā analīze'!I$21+'Ekonomiskā analīze'!I$18*'Jutīguma analīze_EA'!$B57</f>
        <v>151087.64824249089</v>
      </c>
      <c r="K57" s="515">
        <f>'Ekonomiskā analīze'!J$21+'Ekonomiskā analīze'!J$18*'Jutīguma analīze_EA'!$B57</f>
        <v>157548.94762824092</v>
      </c>
      <c r="L57" s="515">
        <f>'Ekonomiskā analīze'!K$21+'Ekonomiskā analīze'!K$18*'Jutīguma analīze_EA'!$B57</f>
        <v>160193.29956144895</v>
      </c>
      <c r="M57" s="515">
        <f>'Ekonomiskā analīze'!L$21+'Ekonomiskā analīze'!L$18*'Jutīguma analīze_EA'!$B57</f>
        <v>160245.37190046484</v>
      </c>
      <c r="N57" s="515">
        <f>'Ekonomiskā analīze'!M$21+'Ekonomiskā analīze'!M$18*'Jutīguma analīze_EA'!$B57</f>
        <v>160633.94517129639</v>
      </c>
      <c r="O57" s="515">
        <f>'Ekonomiskā analīze'!N$21+'Ekonomiskā analīze'!N$18*'Jutīguma analīze_EA'!$B57</f>
        <v>160508.47166664459</v>
      </c>
      <c r="P57" s="515">
        <f>'Ekonomiskā analīze'!O$21+'Ekonomiskā analīze'!O$18*'Jutīguma analīze_EA'!$B57</f>
        <v>158902.1104369743</v>
      </c>
      <c r="Q57" s="515">
        <f>'Ekonomiskā analīze'!P$21+'Ekonomiskā analīze'!P$18*'Jutīguma analīze_EA'!$B57</f>
        <v>162338.00833860342</v>
      </c>
      <c r="R57" s="515">
        <f>'Ekonomiskā analīze'!Q$21+'Ekonomiskā analīze'!Q$18*'Jutīguma analīze_EA'!$B57</f>
        <v>168445.21081439362</v>
      </c>
      <c r="S57" s="515">
        <f>'Ekonomiskā analīze'!R$21+'Ekonomiskā analīze'!R$18*'Jutīguma analīze_EA'!$B57</f>
        <v>195549.1083007119</v>
      </c>
      <c r="T57" s="515">
        <f>'Ekonomiskā analīze'!S$21+'Ekonomiskā analīze'!S$18*'Jutīguma analīze_EA'!$B57</f>
        <v>204079.55734327616</v>
      </c>
      <c r="U57" s="515">
        <f>'Ekonomiskā analīze'!T$21+'Ekonomiskā analīze'!T$18*'Jutīguma analīze_EA'!$B57</f>
        <v>203293.77469560926</v>
      </c>
      <c r="V57" s="515">
        <f>'Ekonomiskā analīze'!U$21+'Ekonomiskā analīze'!U$18*'Jutīguma analīze_EA'!$B57</f>
        <v>207508.57022523906</v>
      </c>
      <c r="W57" s="515">
        <f>'Ekonomiskā analīze'!V$21+'Ekonomiskā analīze'!V$18*'Jutīguma analīze_EA'!$B57</f>
        <v>218568.61263906086</v>
      </c>
      <c r="X57" s="515">
        <f>'Ekonomiskā analīze'!W$21+'Ekonomiskā analīze'!W$18*'Jutīguma analīze_EA'!$B57</f>
        <v>222743.15723687451</v>
      </c>
      <c r="Y57" s="515">
        <f>'Ekonomiskā analīze'!X$21+'Ekonomiskā analīze'!X$18*'Jutīguma analīze_EA'!$B57</f>
        <v>229680.59800995505</v>
      </c>
      <c r="Z57" s="515">
        <f>'Ekonomiskā analīze'!Y$21+'Ekonomiskā analīze'!Y$18*'Jutīguma analīze_EA'!$B57</f>
        <v>233855.1426077692</v>
      </c>
      <c r="AA57" s="515">
        <f>'Ekonomiskā analīze'!Z$21+'Ekonomiskā analīze'!Z$18*'Jutīguma analīze_EA'!$B57</f>
        <v>237670.91203285349</v>
      </c>
      <c r="AB57" s="515">
        <f>'Ekonomiskā analīze'!AA$21+'Ekonomiskā analīze'!AA$18*'Jutīguma analīze_EA'!$B57</f>
        <v>242192.30900266644</v>
      </c>
      <c r="AC57" s="515">
        <f>'Ekonomiskā analīze'!AB$21+'Ekonomiskā analīze'!AB$18*'Jutīguma analīze_EA'!$B57</f>
        <v>244109.50357755763</v>
      </c>
      <c r="AD57" s="515">
        <f>'Ekonomiskā analīze'!AC$21+'Ekonomiskā analīze'!AC$18*'Jutīguma analīze_EA'!$B57</f>
        <v>215261.54374568388</v>
      </c>
      <c r="AE57" s="515">
        <f>'Ekonomiskā analīze'!AD$21+'Ekonomiskā analīze'!AD$18*'Jutīguma analīze_EA'!$B57</f>
        <v>152371.88452789444</v>
      </c>
      <c r="AF57" s="515">
        <f>'Ekonomiskā analīze'!AE$21+'Ekonomiskā analīze'!AE$18*'Jutīguma analīze_EA'!$B57</f>
        <v>153542.77909551337</v>
      </c>
      <c r="AG57" s="515">
        <f>'Ekonomiskā analīze'!AF$21+'Ekonomiskā analīze'!AF$18*'Jutīguma analīze_EA'!$B57</f>
        <v>147134.962786238</v>
      </c>
      <c r="AH57" s="515">
        <f>'Ekonomiskā analīze'!AG$21+'Ekonomiskā analīze'!AG$18*'Jutīguma analīze_EA'!$B57</f>
        <v>698706.22376865312</v>
      </c>
      <c r="AI57" s="515">
        <f>'Ekonomiskā analīze'!AH$21+'Ekonomiskā analīze'!AH$18*'Jutīguma analīze_EA'!$B57</f>
        <v>152999.48475106808</v>
      </c>
    </row>
    <row r="58" spans="1:35" ht="12.75" x14ac:dyDescent="0.2">
      <c r="A58" s="794"/>
      <c r="B58" s="115">
        <v>0.01</v>
      </c>
      <c r="C58" s="515">
        <f>'Ekonomiskā analīze'!B$21+'Ekonomiskā analīze'!B$18*'Jutīguma analīze_EA'!$B58</f>
        <v>-591813.79999999993</v>
      </c>
      <c r="D58" s="515">
        <f>'Ekonomiskā analīze'!C$21+'Ekonomiskā analīze'!C$18*'Jutīguma analīze_EA'!$B58</f>
        <v>-329600.46999999997</v>
      </c>
      <c r="E58" s="515">
        <f>'Ekonomiskā analīze'!D$21+'Ekonomiskā analīze'!D$18*'Jutīguma analīze_EA'!$B58</f>
        <v>-502745</v>
      </c>
      <c r="F58" s="515">
        <f>'Ekonomiskā analīze'!E$21+'Ekonomiskā analīze'!E$18*'Jutīguma analīze_EA'!$B58</f>
        <v>29731.712890701223</v>
      </c>
      <c r="G58" s="515">
        <f>'Ekonomiskā analīze'!F$21+'Ekonomiskā analīze'!F$18*'Jutīguma analīze_EA'!$B58</f>
        <v>49746.202970539904</v>
      </c>
      <c r="H58" s="515">
        <f>'Ekonomiskā analīze'!G$21+'Ekonomiskā analīze'!G$18*'Jutīguma analīze_EA'!$B58</f>
        <v>84757.406315131084</v>
      </c>
      <c r="I58" s="515">
        <f>'Ekonomiskā analīze'!H$21+'Ekonomiskā analīze'!H$18*'Jutīguma analīze_EA'!$B58</f>
        <v>115414.3188217258</v>
      </c>
      <c r="J58" s="515">
        <f>'Ekonomiskā analīze'!I$21+'Ekonomiskā analīze'!I$18*'Jutīguma analīze_EA'!$B58</f>
        <v>151039.96496472639</v>
      </c>
      <c r="K58" s="515">
        <f>'Ekonomiskā analīze'!J$21+'Ekonomiskā analīze'!J$18*'Jutīguma analīze_EA'!$B58</f>
        <v>157500.44222499771</v>
      </c>
      <c r="L58" s="515">
        <f>'Ekonomiskā analīze'!K$21+'Ekonomiskā analīze'!K$18*'Jutīguma analīze_EA'!$B58</f>
        <v>160143.97203272703</v>
      </c>
      <c r="M58" s="515">
        <f>'Ekonomiskā analīze'!L$21+'Ekonomiskā analīze'!L$18*'Jutīguma analīze_EA'!$B58</f>
        <v>160162.04796361926</v>
      </c>
      <c r="N58" s="515">
        <f>'Ekonomiskā analīze'!M$21+'Ekonomiskā analīze'!M$18*'Jutīguma analīze_EA'!$B58</f>
        <v>160516.62482632708</v>
      </c>
      <c r="O58" s="515">
        <f>'Ekonomiskā analīze'!N$21+'Ekonomiskā analīze'!N$18*'Jutīguma analīze_EA'!$B58</f>
        <v>160357.15491355158</v>
      </c>
      <c r="P58" s="515">
        <f>'Ekonomiskā analīze'!O$21+'Ekonomiskā analīze'!O$18*'Jutīguma analīze_EA'!$B58</f>
        <v>158749.56049566326</v>
      </c>
      <c r="Q58" s="515">
        <f>'Ekonomiskā analīze'!P$21+'Ekonomiskā analīze'!P$18*'Jutīguma analīze_EA'!$B58</f>
        <v>162184.2252090743</v>
      </c>
      <c r="R58" s="515">
        <f>'Ekonomiskā analīze'!Q$21+'Ekonomiskā analīze'!Q$18*'Jutīguma analīze_EA'!$B58</f>
        <v>168290.19449664647</v>
      </c>
      <c r="S58" s="515">
        <f>'Ekonomiskā analīze'!R$21+'Ekonomiskā analīze'!R$18*'Jutīguma analīze_EA'!$B58</f>
        <v>195786.15879474671</v>
      </c>
      <c r="T58" s="515">
        <f>'Ekonomiskā analīze'!S$21+'Ekonomiskā analīze'!S$18*'Jutīguma analīze_EA'!$B58</f>
        <v>204323.92464909289</v>
      </c>
      <c r="U58" s="515">
        <f>'Ekonomiskā analīze'!T$21+'Ekonomiskā analīze'!T$18*'Jutīguma analīze_EA'!$B58</f>
        <v>203545.45881320798</v>
      </c>
      <c r="V58" s="515">
        <f>'Ekonomiskā analīze'!U$21+'Ekonomiskā analīze'!U$18*'Jutīguma analīze_EA'!$B58</f>
        <v>207767.57115461974</v>
      </c>
      <c r="W58" s="515">
        <f>'Ekonomiskā analīze'!V$21+'Ekonomiskā analīze'!V$18*'Jutīguma analīze_EA'!$B58</f>
        <v>218947.43038022346</v>
      </c>
      <c r="X58" s="515">
        <f>'Ekonomiskā analīze'!W$21+'Ekonomiskā analīze'!W$18*'Jutīguma analīze_EA'!$B58</f>
        <v>223131.54178981908</v>
      </c>
      <c r="Y58" s="515">
        <f>'Ekonomiskā analīze'!X$21+'Ekonomiskā analīze'!X$18*'Jutīguma analīze_EA'!$B58</f>
        <v>230078.54937468155</v>
      </c>
      <c r="Z58" s="515">
        <f>'Ekonomiskā analīze'!Y$21+'Ekonomiskā analīze'!Y$18*'Jutīguma analīze_EA'!$B58</f>
        <v>234262.66078427766</v>
      </c>
      <c r="AA58" s="515">
        <f>'Ekonomiskā analīze'!Z$21+'Ekonomiskā analīze'!Z$18*'Jutīguma analīze_EA'!$B58</f>
        <v>238087.99702114394</v>
      </c>
      <c r="AB58" s="515">
        <f>'Ekonomiskā analīze'!AA$21+'Ekonomiskā analīze'!AA$18*'Jutīguma analīze_EA'!$B58</f>
        <v>242618.96080273882</v>
      </c>
      <c r="AC58" s="515">
        <f>'Ekonomiskā analīze'!AB$21+'Ekonomiskā analīze'!AB$18*'Jutīguma analīze_EA'!$B58</f>
        <v>244512.54790676694</v>
      </c>
      <c r="AD58" s="515">
        <f>'Ekonomiskā analīze'!AC$21+'Ekonomiskā analīze'!AC$18*'Jutīguma analīze_EA'!$B58</f>
        <v>215127.98060403016</v>
      </c>
      <c r="AE58" s="515">
        <f>'Ekonomiskā analīze'!AD$21+'Ekonomiskā analīze'!AD$18*'Jutīguma analīze_EA'!$B58</f>
        <v>150979.01391537767</v>
      </c>
      <c r="AF58" s="515">
        <f>'Ekonomiskā analīze'!AE$21+'Ekonomiskā analīze'!AE$18*'Jutīguma analīze_EA'!$B58</f>
        <v>152096.15101213355</v>
      </c>
      <c r="AG58" s="515">
        <f>'Ekonomiskā analīze'!AF$21+'Ekonomiskā analīze'!AF$18*'Jutīguma analīze_EA'!$B58</f>
        <v>145660.89045190078</v>
      </c>
      <c r="AH58" s="515">
        <f>'Ekonomiskā analīze'!AG$21+'Ekonomiskā analīze'!AG$18*'Jutīguma analīze_EA'!$B58</f>
        <v>697204.70718335849</v>
      </c>
      <c r="AI58" s="515">
        <f>'Ekonomiskā analīze'!AH$21+'Ekonomiskā analīze'!AH$18*'Jutīguma analīze_EA'!$B58</f>
        <v>151470.52391481606</v>
      </c>
    </row>
    <row r="59" spans="1:35" ht="12.75" x14ac:dyDescent="0.2">
      <c r="A59" s="794"/>
      <c r="B59" s="116">
        <v>0</v>
      </c>
      <c r="C59" s="583">
        <f>'Ekonomiskā analīze'!B$21+'Ekonomiskā analīze'!B$18*'Jutīguma analīze_EA'!$B59</f>
        <v>-591813.79999999993</v>
      </c>
      <c r="D59" s="583">
        <f>'Ekonomiskā analīze'!C$21+'Ekonomiskā analīze'!C$18*'Jutīguma analīze_EA'!$B59</f>
        <v>-329600.46999999997</v>
      </c>
      <c r="E59" s="583">
        <f>'Ekonomiskā analīze'!D$21+'Ekonomiskā analīze'!D$18*'Jutīguma analīze_EA'!$B59</f>
        <v>-502745</v>
      </c>
      <c r="F59" s="583">
        <f>'Ekonomiskā analīze'!E$21+'Ekonomiskā analīze'!E$18*'Jutīguma analīze_EA'!$B59</f>
        <v>29716.867801467524</v>
      </c>
      <c r="G59" s="583">
        <f>'Ekonomiskā analīze'!F$21+'Ekonomiskā analīze'!F$18*'Jutīguma analīze_EA'!$B59</f>
        <v>49723.562160130445</v>
      </c>
      <c r="H59" s="583">
        <f>'Ekonomiskā analīze'!G$21+'Ekonomiskā analīze'!G$18*'Jutīguma analīze_EA'!$B59</f>
        <v>84726.736030593005</v>
      </c>
      <c r="I59" s="583">
        <f>'Ekonomiskā analīze'!H$21+'Ekonomiskā analīze'!H$18*'Jutīguma analīze_EA'!$B59</f>
        <v>115383.08945353526</v>
      </c>
      <c r="J59" s="583">
        <f>'Ekonomiskā analīze'!I$21+'Ekonomiskā analīze'!I$18*'Jutīguma analīze_EA'!$B59</f>
        <v>151008.17611288338</v>
      </c>
      <c r="K59" s="583">
        <f>'Ekonomiskā analīze'!J$21+'Ekonomiskā analīze'!J$18*'Jutīguma analīze_EA'!$B59</f>
        <v>157468.10528950224</v>
      </c>
      <c r="L59" s="583">
        <f>'Ekonomiskā analīze'!K$21+'Ekonomiskā analīze'!K$18*'Jutīguma analīze_EA'!$B59</f>
        <v>160111.08701357909</v>
      </c>
      <c r="M59" s="583">
        <f>'Ekonomiskā analīze'!L$21+'Ekonomiskā analīze'!L$18*'Jutīguma analīze_EA'!$B59</f>
        <v>160106.49867238884</v>
      </c>
      <c r="N59" s="583">
        <f>'Ekonomiskā analīze'!M$21+'Ekonomiskā analīze'!M$18*'Jutīguma analīze_EA'!$B59</f>
        <v>160438.41126301422</v>
      </c>
      <c r="O59" s="583">
        <f>'Ekonomiskā analīze'!N$21+'Ekonomiskā analīze'!N$18*'Jutīguma analīze_EA'!$B59</f>
        <v>160256.27707815624</v>
      </c>
      <c r="P59" s="583">
        <f>'Ekonomiskā analīze'!O$21+'Ekonomiskā analīze'!O$18*'Jutīguma analīze_EA'!$B59</f>
        <v>158647.86053478922</v>
      </c>
      <c r="Q59" s="583">
        <f>'Ekonomiskā analīze'!P$21+'Ekonomiskā analīze'!P$18*'Jutīguma analīze_EA'!$B59</f>
        <v>162081.70312272158</v>
      </c>
      <c r="R59" s="583">
        <f>'Ekonomiskā analīze'!Q$21+'Ekonomiskā analīze'!Q$18*'Jutīguma analīze_EA'!$B59</f>
        <v>168186.85028481504</v>
      </c>
      <c r="S59" s="583">
        <f>'Ekonomiskā analīze'!R$21+'Ekonomiskā analīze'!R$18*'Jutīguma analīze_EA'!$B59</f>
        <v>195944.19245743658</v>
      </c>
      <c r="T59" s="583">
        <f>'Ekonomiskā analīze'!S$21+'Ekonomiskā analīze'!S$18*'Jutīguma analīze_EA'!$B59</f>
        <v>204486.83618630408</v>
      </c>
      <c r="U59" s="583">
        <f>'Ekonomiskā analīze'!T$21+'Ekonomiskā analīze'!T$18*'Jutīguma analīze_EA'!$B59</f>
        <v>203713.24822494044</v>
      </c>
      <c r="V59" s="583">
        <f>'Ekonomiskā analīze'!U$21+'Ekonomiskā analīze'!U$18*'Jutīguma analīze_EA'!$B59</f>
        <v>207940.23844087351</v>
      </c>
      <c r="W59" s="583">
        <f>'Ekonomiskā analīze'!V$21+'Ekonomiskā analīze'!V$18*'Jutīguma analīze_EA'!$B59</f>
        <v>219199.97554099854</v>
      </c>
      <c r="X59" s="583">
        <f>'Ekonomiskā analīze'!W$21+'Ekonomiskā analīze'!W$18*'Jutīguma analīze_EA'!$B59</f>
        <v>223390.46482511546</v>
      </c>
      <c r="Y59" s="583">
        <f>'Ekonomiskā analīze'!X$21+'Ekonomiskā analīze'!X$18*'Jutīguma analīze_EA'!$B59</f>
        <v>230343.85028449923</v>
      </c>
      <c r="Z59" s="583">
        <f>'Ekonomiskā analīze'!Y$21+'Ekonomiskā analīze'!Y$18*'Jutīguma analīze_EA'!$B59</f>
        <v>234534.33956861665</v>
      </c>
      <c r="AA59" s="583">
        <f>'Ekonomiskā analīze'!Z$21+'Ekonomiskā analīze'!Z$18*'Jutīguma analīze_EA'!$B59</f>
        <v>238366.0536800042</v>
      </c>
      <c r="AB59" s="583">
        <f>'Ekonomiskā analīze'!AA$21+'Ekonomiskā analīze'!AA$18*'Jutīguma analīze_EA'!$B59</f>
        <v>242903.39533612039</v>
      </c>
      <c r="AC59" s="583">
        <f>'Ekonomiskā analīze'!AB$21+'Ekonomiskā analīze'!AB$18*'Jutīguma analīze_EA'!$B59</f>
        <v>244781.24412623982</v>
      </c>
      <c r="AD59" s="583">
        <f>'Ekonomiskā analīze'!AC$21+'Ekonomiskā analīze'!AC$18*'Jutīguma analīze_EA'!$B59</f>
        <v>215038.93850959436</v>
      </c>
      <c r="AE59" s="583">
        <f>'Ekonomiskā analīze'!AD$21+'Ekonomiskā analīze'!AD$18*'Jutīguma analīze_EA'!$B59</f>
        <v>150050.43350703316</v>
      </c>
      <c r="AF59" s="583">
        <f>'Ekonomiskā analīze'!AE$21+'Ekonomiskā analīze'!AE$18*'Jutīguma analīze_EA'!$B59</f>
        <v>151131.73228988034</v>
      </c>
      <c r="AG59" s="583">
        <f>'Ekonomiskā analīze'!AF$21+'Ekonomiskā analīze'!AF$18*'Jutīguma analīze_EA'!$B59</f>
        <v>144678.17556234263</v>
      </c>
      <c r="AH59" s="583">
        <f>'Ekonomiskā analīze'!AG$21+'Ekonomiskā analīze'!AG$18*'Jutīguma analīze_EA'!$B59</f>
        <v>696203.69612649537</v>
      </c>
      <c r="AI59" s="583">
        <f>'Ekonomiskā analīze'!AH$21+'Ekonomiskā analīze'!AH$18*'Jutīguma analīze_EA'!$B59</f>
        <v>150451.21669064806</v>
      </c>
    </row>
    <row r="60" spans="1:35" ht="12.75" x14ac:dyDescent="0.2">
      <c r="A60" s="794"/>
      <c r="B60" s="115">
        <v>-0.01</v>
      </c>
      <c r="C60" s="515">
        <f>'Ekonomiskā analīze'!B$21+'Ekonomiskā analīze'!B$18*'Jutīguma analīze_EA'!$B60</f>
        <v>-591813.79999999993</v>
      </c>
      <c r="D60" s="515">
        <f>'Ekonomiskā analīze'!C$21+'Ekonomiskā analīze'!C$18*'Jutīguma analīze_EA'!$B60</f>
        <v>-329600.46999999997</v>
      </c>
      <c r="E60" s="515">
        <f>'Ekonomiskā analīze'!D$21+'Ekonomiskā analīze'!D$18*'Jutīguma analīze_EA'!$B60</f>
        <v>-502745</v>
      </c>
      <c r="F60" s="515">
        <f>'Ekonomiskā analīze'!E$21+'Ekonomiskā analīze'!E$18*'Jutīguma analīze_EA'!$B60</f>
        <v>29702.022712233826</v>
      </c>
      <c r="G60" s="515">
        <f>'Ekonomiskā analīze'!F$21+'Ekonomiskā analīze'!F$18*'Jutīguma analīze_EA'!$B60</f>
        <v>49700.921349720986</v>
      </c>
      <c r="H60" s="515">
        <f>'Ekonomiskā analīze'!G$21+'Ekonomiskā analīze'!G$18*'Jutīguma analīze_EA'!$B60</f>
        <v>84696.065746054926</v>
      </c>
      <c r="I60" s="515">
        <f>'Ekonomiskā analīze'!H$21+'Ekonomiskā analīze'!H$18*'Jutīguma analīze_EA'!$B60</f>
        <v>115351.86008534471</v>
      </c>
      <c r="J60" s="515">
        <f>'Ekonomiskā analīze'!I$21+'Ekonomiskā analīze'!I$18*'Jutīguma analīze_EA'!$B60</f>
        <v>150976.38726104036</v>
      </c>
      <c r="K60" s="515">
        <f>'Ekonomiskā analīze'!J$21+'Ekonomiskā analīze'!J$18*'Jutīguma analīze_EA'!$B60</f>
        <v>157435.76835400678</v>
      </c>
      <c r="L60" s="515">
        <f>'Ekonomiskā analīze'!K$21+'Ekonomiskā analīze'!K$18*'Jutīguma analīze_EA'!$B60</f>
        <v>160078.20199443115</v>
      </c>
      <c r="M60" s="515">
        <f>'Ekonomiskā analīze'!L$21+'Ekonomiskā analīze'!L$18*'Jutīguma analīze_EA'!$B60</f>
        <v>160050.94938115843</v>
      </c>
      <c r="N60" s="515">
        <f>'Ekonomiskā analīze'!M$21+'Ekonomiskā analīze'!M$18*'Jutīguma analīze_EA'!$B60</f>
        <v>160360.19769970136</v>
      </c>
      <c r="O60" s="515">
        <f>'Ekonomiskā analīze'!N$21+'Ekonomiskā analīze'!N$18*'Jutīguma analīze_EA'!$B60</f>
        <v>160155.3992427609</v>
      </c>
      <c r="P60" s="515">
        <f>'Ekonomiskā analīze'!O$21+'Ekonomiskā analīze'!O$18*'Jutīguma analīze_EA'!$B60</f>
        <v>158546.16057391517</v>
      </c>
      <c r="Q60" s="515">
        <f>'Ekonomiskā analīze'!P$21+'Ekonomiskā analīze'!P$18*'Jutīguma analīze_EA'!$B60</f>
        <v>161979.18103636886</v>
      </c>
      <c r="R60" s="515">
        <f>'Ekonomiskā analīze'!Q$21+'Ekonomiskā analīze'!Q$18*'Jutīguma analīze_EA'!$B60</f>
        <v>168083.50607298361</v>
      </c>
      <c r="S60" s="515">
        <f>'Ekonomiskā analīze'!R$21+'Ekonomiskā analīze'!R$18*'Jutīguma analīze_EA'!$B60</f>
        <v>196102.22612012646</v>
      </c>
      <c r="T60" s="515">
        <f>'Ekonomiskā analīze'!S$21+'Ekonomiskā analīze'!S$18*'Jutīguma analīze_EA'!$B60</f>
        <v>204649.74772351526</v>
      </c>
      <c r="U60" s="515">
        <f>'Ekonomiskā analīze'!T$21+'Ekonomiskā analīze'!T$18*'Jutīguma analīze_EA'!$B60</f>
        <v>203881.0376366729</v>
      </c>
      <c r="V60" s="515">
        <f>'Ekonomiskā analīze'!U$21+'Ekonomiskā analīze'!U$18*'Jutīguma analīze_EA'!$B60</f>
        <v>208112.90572712728</v>
      </c>
      <c r="W60" s="515">
        <f>'Ekonomiskā analīze'!V$21+'Ekonomiskā analīze'!V$18*'Jutīguma analīze_EA'!$B60</f>
        <v>219452.52070177361</v>
      </c>
      <c r="X60" s="515">
        <f>'Ekonomiskā analīze'!W$21+'Ekonomiskā analīze'!W$18*'Jutīguma analīze_EA'!$B60</f>
        <v>223649.38786041184</v>
      </c>
      <c r="Y60" s="515">
        <f>'Ekonomiskā analīze'!X$21+'Ekonomiskā analīze'!X$18*'Jutīguma analīze_EA'!$B60</f>
        <v>230609.15119431692</v>
      </c>
      <c r="Z60" s="515">
        <f>'Ekonomiskā analīze'!Y$21+'Ekonomiskā analīze'!Y$18*'Jutīguma analīze_EA'!$B60</f>
        <v>234806.01835295564</v>
      </c>
      <c r="AA60" s="515">
        <f>'Ekonomiskā analīze'!Z$21+'Ekonomiskā analīze'!Z$18*'Jutīguma analīze_EA'!$B60</f>
        <v>238644.11033886447</v>
      </c>
      <c r="AB60" s="515">
        <f>'Ekonomiskā analīze'!AA$21+'Ekonomiskā analīze'!AA$18*'Jutīguma analīze_EA'!$B60</f>
        <v>243187.82986950196</v>
      </c>
      <c r="AC60" s="515">
        <f>'Ekonomiskā analīze'!AB$21+'Ekonomiskā analīze'!AB$18*'Jutīguma analīze_EA'!$B60</f>
        <v>245049.9403457127</v>
      </c>
      <c r="AD60" s="515">
        <f>'Ekonomiskā analīze'!AC$21+'Ekonomiskā analīze'!AC$18*'Jutīguma analīze_EA'!$B60</f>
        <v>214949.89641515855</v>
      </c>
      <c r="AE60" s="515">
        <f>'Ekonomiskā analīze'!AD$21+'Ekonomiskā analīze'!AD$18*'Jutīguma analīze_EA'!$B60</f>
        <v>149121.85309868865</v>
      </c>
      <c r="AF60" s="515">
        <f>'Ekonomiskā analīze'!AE$21+'Ekonomiskā analīze'!AE$18*'Jutīguma analīze_EA'!$B60</f>
        <v>150167.31356762713</v>
      </c>
      <c r="AG60" s="515">
        <f>'Ekonomiskā analīze'!AF$21+'Ekonomiskā analīze'!AF$18*'Jutīguma analīze_EA'!$B60</f>
        <v>143695.46067278448</v>
      </c>
      <c r="AH60" s="515">
        <f>'Ekonomiskā analīze'!AG$21+'Ekonomiskā analīze'!AG$18*'Jutīguma analīze_EA'!$B60</f>
        <v>695202.68506963225</v>
      </c>
      <c r="AI60" s="515">
        <f>'Ekonomiskā analīze'!AH$21+'Ekonomiskā analīze'!AH$18*'Jutīguma analīze_EA'!$B60</f>
        <v>149431.90946648005</v>
      </c>
    </row>
    <row r="61" spans="1:35" ht="12.75" x14ac:dyDescent="0.2">
      <c r="A61" s="794"/>
      <c r="B61" s="115">
        <v>-2.5000000000000001E-2</v>
      </c>
      <c r="C61" s="515">
        <f>'Ekonomiskā analīze'!B$21+'Ekonomiskā analīze'!B$18*'Jutīguma analīze_EA'!$B61</f>
        <v>-591813.79999999993</v>
      </c>
      <c r="D61" s="515">
        <f>'Ekonomiskā analīze'!C$21+'Ekonomiskā analīze'!C$18*'Jutīguma analīze_EA'!$B61</f>
        <v>-329600.46999999997</v>
      </c>
      <c r="E61" s="515">
        <f>'Ekonomiskā analīze'!D$21+'Ekonomiskā analīze'!D$18*'Jutīguma analīze_EA'!$B61</f>
        <v>-502745</v>
      </c>
      <c r="F61" s="515">
        <f>'Ekonomiskā analīze'!E$21+'Ekonomiskā analīze'!E$18*'Jutīguma analīze_EA'!$B61</f>
        <v>29679.755078383281</v>
      </c>
      <c r="G61" s="515">
        <f>'Ekonomiskā analīze'!F$21+'Ekonomiskā analīze'!F$18*'Jutīguma analīze_EA'!$B61</f>
        <v>49666.960134106797</v>
      </c>
      <c r="H61" s="515">
        <f>'Ekonomiskā analīze'!G$21+'Ekonomiskā analīze'!G$18*'Jutīguma analīze_EA'!$B61</f>
        <v>84650.060319247816</v>
      </c>
      <c r="I61" s="515">
        <f>'Ekonomiskā analīze'!H$21+'Ekonomiskā analīze'!H$18*'Jutīguma analīze_EA'!$B61</f>
        <v>115305.0160330589</v>
      </c>
      <c r="J61" s="515">
        <f>'Ekonomiskā analīze'!I$21+'Ekonomiskā analīze'!I$18*'Jutīguma analīze_EA'!$B61</f>
        <v>150928.70398327586</v>
      </c>
      <c r="K61" s="515">
        <f>'Ekonomiskā analīze'!J$21+'Ekonomiskā analīze'!J$18*'Jutīguma analīze_EA'!$B61</f>
        <v>157387.26295076357</v>
      </c>
      <c r="L61" s="515">
        <f>'Ekonomiskā analīze'!K$21+'Ekonomiskā analīze'!K$18*'Jutīguma analīze_EA'!$B61</f>
        <v>160028.87446570923</v>
      </c>
      <c r="M61" s="515">
        <f>'Ekonomiskā analīze'!L$21+'Ekonomiskā analīze'!L$18*'Jutīguma analīze_EA'!$B61</f>
        <v>159967.62544431284</v>
      </c>
      <c r="N61" s="515">
        <f>'Ekonomiskā analīze'!M$21+'Ekonomiskā analīze'!M$18*'Jutīguma analīze_EA'!$B61</f>
        <v>160242.87735473205</v>
      </c>
      <c r="O61" s="515">
        <f>'Ekonomiskā analīze'!N$21+'Ekonomiskā analīze'!N$18*'Jutīguma analīze_EA'!$B61</f>
        <v>160004.0824896679</v>
      </c>
      <c r="P61" s="515">
        <f>'Ekonomiskā analīze'!O$21+'Ekonomiskā analīze'!O$18*'Jutīguma analīze_EA'!$B61</f>
        <v>158393.61063260413</v>
      </c>
      <c r="Q61" s="515">
        <f>'Ekonomiskā analīze'!P$21+'Ekonomiskā analīze'!P$18*'Jutīguma analīze_EA'!$B61</f>
        <v>161825.39790683973</v>
      </c>
      <c r="R61" s="515">
        <f>'Ekonomiskā analīze'!Q$21+'Ekonomiskā analīze'!Q$18*'Jutīguma analīze_EA'!$B61</f>
        <v>167928.48975523646</v>
      </c>
      <c r="S61" s="515">
        <f>'Ekonomiskā analīze'!R$21+'Ekonomiskā analīze'!R$18*'Jutīguma analīze_EA'!$B61</f>
        <v>196339.27661416127</v>
      </c>
      <c r="T61" s="515">
        <f>'Ekonomiskā analīze'!S$21+'Ekonomiskā analīze'!S$18*'Jutīguma analīze_EA'!$B61</f>
        <v>204894.115029332</v>
      </c>
      <c r="U61" s="515">
        <f>'Ekonomiskā analīze'!T$21+'Ekonomiskā analīze'!T$18*'Jutīguma analīze_EA'!$B61</f>
        <v>204132.72175427162</v>
      </c>
      <c r="V61" s="515">
        <f>'Ekonomiskā analīze'!U$21+'Ekonomiskā analīze'!U$18*'Jutīguma analīze_EA'!$B61</f>
        <v>208371.90665650796</v>
      </c>
      <c r="W61" s="515">
        <f>'Ekonomiskā analīze'!V$21+'Ekonomiskā analīze'!V$18*'Jutīguma analīze_EA'!$B61</f>
        <v>219831.33844293622</v>
      </c>
      <c r="X61" s="515">
        <f>'Ekonomiskā analīze'!W$21+'Ekonomiskā analīze'!W$18*'Jutīguma analīze_EA'!$B61</f>
        <v>224037.7724133564</v>
      </c>
      <c r="Y61" s="515">
        <f>'Ekonomiskā analīze'!X$21+'Ekonomiskā analīze'!X$18*'Jutīguma analīze_EA'!$B61</f>
        <v>231007.10255904341</v>
      </c>
      <c r="Z61" s="515">
        <f>'Ekonomiskā analīze'!Y$21+'Ekonomiskā analīze'!Y$18*'Jutīguma analīze_EA'!$B61</f>
        <v>235213.53652946409</v>
      </c>
      <c r="AA61" s="515">
        <f>'Ekonomiskā analīze'!Z$21+'Ekonomiskā analīze'!Z$18*'Jutīguma analīze_EA'!$B61</f>
        <v>239061.19532715491</v>
      </c>
      <c r="AB61" s="515">
        <f>'Ekonomiskā analīze'!AA$21+'Ekonomiskā analīze'!AA$18*'Jutīguma analīze_EA'!$B61</f>
        <v>243614.48166957434</v>
      </c>
      <c r="AC61" s="515">
        <f>'Ekonomiskā analīze'!AB$21+'Ekonomiskā analīze'!AB$18*'Jutīguma analīze_EA'!$B61</f>
        <v>245452.98467492202</v>
      </c>
      <c r="AD61" s="515">
        <f>'Ekonomiskā analīze'!AC$21+'Ekonomiskā analīze'!AC$18*'Jutīguma analīze_EA'!$B61</f>
        <v>214816.33327350483</v>
      </c>
      <c r="AE61" s="515">
        <f>'Ekonomiskā analīze'!AD$21+'Ekonomiskā analīze'!AD$18*'Jutīguma analīze_EA'!$B61</f>
        <v>147728.98248617188</v>
      </c>
      <c r="AF61" s="515">
        <f>'Ekonomiskā analīze'!AE$21+'Ekonomiskā analīze'!AE$18*'Jutīguma analīze_EA'!$B61</f>
        <v>148720.68548424731</v>
      </c>
      <c r="AG61" s="515">
        <f>'Ekonomiskā analīze'!AF$21+'Ekonomiskā analīze'!AF$18*'Jutīguma analīze_EA'!$B61</f>
        <v>142221.38833844726</v>
      </c>
      <c r="AH61" s="515">
        <f>'Ekonomiskā analīze'!AG$21+'Ekonomiskā analīze'!AG$18*'Jutīguma analīze_EA'!$B61</f>
        <v>693701.16848433763</v>
      </c>
      <c r="AI61" s="515">
        <f>'Ekonomiskā analīze'!AH$21+'Ekonomiskā analīze'!AH$18*'Jutīguma analīze_EA'!$B61</f>
        <v>147902.94863022803</v>
      </c>
    </row>
    <row r="62" spans="1:35" ht="12.75" x14ac:dyDescent="0.2">
      <c r="A62" s="794"/>
      <c r="B62" s="115">
        <v>-0.05</v>
      </c>
      <c r="C62" s="515">
        <f>'Ekonomiskā analīze'!B$21+'Ekonomiskā analīze'!B$18*'Jutīguma analīze_EA'!$B62</f>
        <v>-591813.79999999993</v>
      </c>
      <c r="D62" s="515">
        <f>'Ekonomiskā analīze'!C$21+'Ekonomiskā analīze'!C$18*'Jutīguma analīze_EA'!$B62</f>
        <v>-329600.46999999997</v>
      </c>
      <c r="E62" s="515">
        <f>'Ekonomiskā analīze'!D$21+'Ekonomiskā analīze'!D$18*'Jutīguma analīze_EA'!$B62</f>
        <v>-502745</v>
      </c>
      <c r="F62" s="515">
        <f>'Ekonomiskā analīze'!E$21+'Ekonomiskā analīze'!E$18*'Jutīguma analīze_EA'!$B62</f>
        <v>29642.642355299038</v>
      </c>
      <c r="G62" s="515">
        <f>'Ekonomiskā analīze'!F$21+'Ekonomiskā analīze'!F$18*'Jutīguma analīze_EA'!$B62</f>
        <v>49610.358108083157</v>
      </c>
      <c r="H62" s="515">
        <f>'Ekonomiskā analīze'!G$21+'Ekonomiskā analīze'!G$18*'Jutīguma analīze_EA'!$B62</f>
        <v>84573.384607902612</v>
      </c>
      <c r="I62" s="515">
        <f>'Ekonomiskā analīze'!H$21+'Ekonomiskā analīze'!H$18*'Jutīguma analīze_EA'!$B62</f>
        <v>115226.94261258254</v>
      </c>
      <c r="J62" s="515">
        <f>'Ekonomiskā analīze'!I$21+'Ekonomiskā analīze'!I$18*'Jutīguma analīze_EA'!$B62</f>
        <v>150849.23185366835</v>
      </c>
      <c r="K62" s="515">
        <f>'Ekonomiskā analīze'!J$21+'Ekonomiskā analīze'!J$18*'Jutīguma analīze_EA'!$B62</f>
        <v>157306.42061202487</v>
      </c>
      <c r="L62" s="515">
        <f>'Ekonomiskā analīze'!K$21+'Ekonomiskā analīze'!K$18*'Jutīguma analīze_EA'!$B62</f>
        <v>159946.66191783937</v>
      </c>
      <c r="M62" s="515">
        <f>'Ekonomiskā analīze'!L$21+'Ekonomiskā analīze'!L$18*'Jutīguma analīze_EA'!$B62</f>
        <v>159828.75221623681</v>
      </c>
      <c r="N62" s="515">
        <f>'Ekonomiskā analīze'!M$21+'Ekonomiskā analīze'!M$18*'Jutīguma analīze_EA'!$B62</f>
        <v>160047.34344644987</v>
      </c>
      <c r="O62" s="515">
        <f>'Ekonomiskā analīze'!N$21+'Ekonomiskā analīze'!N$18*'Jutīguma analīze_EA'!$B62</f>
        <v>159751.88790117955</v>
      </c>
      <c r="P62" s="515">
        <f>'Ekonomiskā analīze'!O$21+'Ekonomiskā analīze'!O$18*'Jutīguma analīze_EA'!$B62</f>
        <v>158139.36073041905</v>
      </c>
      <c r="Q62" s="515">
        <f>'Ekonomiskā analīze'!P$21+'Ekonomiskā analīze'!P$18*'Jutīguma analīze_EA'!$B62</f>
        <v>161569.09269095791</v>
      </c>
      <c r="R62" s="515">
        <f>'Ekonomiskā analīze'!Q$21+'Ekonomiskā analīze'!Q$18*'Jutīguma analīze_EA'!$B62</f>
        <v>167670.12922565787</v>
      </c>
      <c r="S62" s="515">
        <f>'Ekonomiskā analīze'!R$21+'Ekonomiskā analīze'!R$18*'Jutīguma analīze_EA'!$B62</f>
        <v>196734.36077088592</v>
      </c>
      <c r="T62" s="515">
        <f>'Ekonomiskā analīze'!S$21+'Ekonomiskā analīze'!S$18*'Jutīguma analīze_EA'!$B62</f>
        <v>205301.39387235994</v>
      </c>
      <c r="U62" s="515">
        <f>'Ekonomiskā analīze'!T$21+'Ekonomiskā analīze'!T$18*'Jutīguma analīze_EA'!$B62</f>
        <v>204552.19528360281</v>
      </c>
      <c r="V62" s="515">
        <f>'Ekonomiskā analīze'!U$21+'Ekonomiskā analīze'!U$18*'Jutīguma analīze_EA'!$B62</f>
        <v>208803.57487214237</v>
      </c>
      <c r="W62" s="515">
        <f>'Ekonomiskā analīze'!V$21+'Ekonomiskā analīze'!V$18*'Jutīguma analīze_EA'!$B62</f>
        <v>220462.7013448739</v>
      </c>
      <c r="X62" s="515">
        <f>'Ekonomiskā analīze'!W$21+'Ekonomiskā analīze'!W$18*'Jutīguma analīze_EA'!$B62</f>
        <v>224685.08000159735</v>
      </c>
      <c r="Y62" s="515">
        <f>'Ekonomiskā analīze'!X$21+'Ekonomiskā analīze'!X$18*'Jutīguma analīze_EA'!$B62</f>
        <v>231670.35483358763</v>
      </c>
      <c r="Z62" s="515">
        <f>'Ekonomiskā analīze'!Y$21+'Ekonomiskā analīze'!Y$18*'Jutīguma analīze_EA'!$B62</f>
        <v>235892.73349031154</v>
      </c>
      <c r="AA62" s="515">
        <f>'Ekonomiskā analīze'!Z$21+'Ekonomiskā analīze'!Z$18*'Jutīguma analīze_EA'!$B62</f>
        <v>239756.3369743056</v>
      </c>
      <c r="AB62" s="515">
        <f>'Ekonomiskā analīze'!AA$21+'Ekonomiskā analīze'!AA$18*'Jutīguma analīze_EA'!$B62</f>
        <v>244325.56800302828</v>
      </c>
      <c r="AC62" s="515">
        <f>'Ekonomiskā analīze'!AB$21+'Ekonomiskā analīze'!AB$18*'Jutīguma analīze_EA'!$B62</f>
        <v>246124.72522360424</v>
      </c>
      <c r="AD62" s="515">
        <f>'Ekonomiskā analīze'!AC$21+'Ekonomiskā analīze'!AC$18*'Jutīguma analīze_EA'!$B62</f>
        <v>214593.72803741528</v>
      </c>
      <c r="AE62" s="515">
        <f>'Ekonomiskā analīze'!AD$21+'Ekonomiskā analīze'!AD$18*'Jutīguma analīze_EA'!$B62</f>
        <v>145407.53146531057</v>
      </c>
      <c r="AF62" s="515">
        <f>'Ekonomiskā analīze'!AE$21+'Ekonomiskā analīze'!AE$18*'Jutīguma analīze_EA'!$B62</f>
        <v>146309.63867861428</v>
      </c>
      <c r="AG62" s="515">
        <f>'Ekonomiskā analīze'!AF$21+'Ekonomiskā analīze'!AF$18*'Jutīguma analīze_EA'!$B62</f>
        <v>139764.60111455192</v>
      </c>
      <c r="AH62" s="515">
        <f>'Ekonomiskā analīze'!AG$21+'Ekonomiskā analīze'!AG$18*'Jutīguma analīze_EA'!$B62</f>
        <v>691198.64084218</v>
      </c>
      <c r="AI62" s="515">
        <f>'Ekonomiskā analīze'!AH$21+'Ekonomiskā analīze'!AH$18*'Jutīguma analīze_EA'!$B62</f>
        <v>145354.68056980803</v>
      </c>
    </row>
    <row r="63" spans="1:35" ht="12.75" x14ac:dyDescent="0.2">
      <c r="A63" s="794"/>
      <c r="B63" s="115">
        <v>-7.4999999999999997E-2</v>
      </c>
      <c r="C63" s="515">
        <f>'Ekonomiskā analīze'!B$21+'Ekonomiskā analīze'!B$18*'Jutīguma analīze_EA'!$B63</f>
        <v>-591813.79999999993</v>
      </c>
      <c r="D63" s="515">
        <f>'Ekonomiskā analīze'!C$21+'Ekonomiskā analīze'!C$18*'Jutīguma analīze_EA'!$B63</f>
        <v>-329600.46999999997</v>
      </c>
      <c r="E63" s="515">
        <f>'Ekonomiskā analīze'!D$21+'Ekonomiskā analīze'!D$18*'Jutīguma analīze_EA'!$B63</f>
        <v>-502745</v>
      </c>
      <c r="F63" s="515">
        <f>'Ekonomiskā analīze'!E$21+'Ekonomiskā analīze'!E$18*'Jutīguma analīze_EA'!$B63</f>
        <v>29605.529632214791</v>
      </c>
      <c r="G63" s="515">
        <f>'Ekonomiskā analīze'!F$21+'Ekonomiskā analīze'!F$18*'Jutīguma analīze_EA'!$B63</f>
        <v>49553.75608205951</v>
      </c>
      <c r="H63" s="515">
        <f>'Ekonomiskā analīze'!G$21+'Ekonomiskā analīze'!G$18*'Jutīguma analīze_EA'!$B63</f>
        <v>84496.708896557422</v>
      </c>
      <c r="I63" s="515">
        <f>'Ekonomiskā analīze'!H$21+'Ekonomiskā analīze'!H$18*'Jutīguma analīze_EA'!$B63</f>
        <v>115148.86919210618</v>
      </c>
      <c r="J63" s="515">
        <f>'Ekonomiskā analīze'!I$21+'Ekonomiskā analīze'!I$18*'Jutīguma analīze_EA'!$B63</f>
        <v>150769.7597240608</v>
      </c>
      <c r="K63" s="515">
        <f>'Ekonomiskā analīze'!J$21+'Ekonomiskā analīze'!J$18*'Jutīguma analīze_EA'!$B63</f>
        <v>157225.57827328617</v>
      </c>
      <c r="L63" s="515">
        <f>'Ekonomiskā analīze'!K$21+'Ekonomiskā analīze'!K$18*'Jutīguma analīze_EA'!$B63</f>
        <v>159864.44936996954</v>
      </c>
      <c r="M63" s="515">
        <f>'Ekonomiskā analīze'!L$21+'Ekonomiskā analīze'!L$18*'Jutīguma analīze_EA'!$B63</f>
        <v>159689.87898816081</v>
      </c>
      <c r="N63" s="515">
        <f>'Ekonomiskā analīze'!M$21+'Ekonomiskā analīze'!M$18*'Jutīguma analīze_EA'!$B63</f>
        <v>159851.80953816767</v>
      </c>
      <c r="O63" s="515">
        <f>'Ekonomiskā analīze'!N$21+'Ekonomiskā analīze'!N$18*'Jutīguma analīze_EA'!$B63</f>
        <v>159499.6933126912</v>
      </c>
      <c r="P63" s="515">
        <f>'Ekonomiskā analīze'!O$21+'Ekonomiskā analīze'!O$18*'Jutīguma analīze_EA'!$B63</f>
        <v>157885.11082823394</v>
      </c>
      <c r="Q63" s="515">
        <f>'Ekonomiskā analīze'!P$21+'Ekonomiskā analīze'!P$18*'Jutīguma analīze_EA'!$B63</f>
        <v>161312.78747507607</v>
      </c>
      <c r="R63" s="515">
        <f>'Ekonomiskā analīze'!Q$21+'Ekonomiskā analīze'!Q$18*'Jutīguma analīze_EA'!$B63</f>
        <v>167411.76869607929</v>
      </c>
      <c r="S63" s="515">
        <f>'Ekonomiskā analīze'!R$21+'Ekonomiskā analīze'!R$18*'Jutīguma analīze_EA'!$B63</f>
        <v>197129.4449276106</v>
      </c>
      <c r="T63" s="515">
        <f>'Ekonomiskā analīze'!S$21+'Ekonomiskā analīze'!S$18*'Jutīguma analīze_EA'!$B63</f>
        <v>205708.67271538786</v>
      </c>
      <c r="U63" s="515">
        <f>'Ekonomiskā analīze'!T$21+'Ekonomiskā analīze'!T$18*'Jutīguma analīze_EA'!$B63</f>
        <v>204971.66881293399</v>
      </c>
      <c r="V63" s="515">
        <f>'Ekonomiskā analīze'!U$21+'Ekonomiskā analīze'!U$18*'Jutīguma analīze_EA'!$B63</f>
        <v>209235.24308777682</v>
      </c>
      <c r="W63" s="515">
        <f>'Ekonomiskā analīze'!V$21+'Ekonomiskā analīze'!V$18*'Jutīguma analīze_EA'!$B63</f>
        <v>221094.06424681158</v>
      </c>
      <c r="X63" s="515">
        <f>'Ekonomiskā analīze'!W$21+'Ekonomiskā analīze'!W$18*'Jutīguma analīze_EA'!$B63</f>
        <v>225332.38758983827</v>
      </c>
      <c r="Y63" s="515">
        <f>'Ekonomiskā analīze'!X$21+'Ekonomiskā analīze'!X$18*'Jutīguma analīze_EA'!$B63</f>
        <v>232333.60710813181</v>
      </c>
      <c r="Z63" s="515">
        <f>'Ekonomiskā analīze'!Y$21+'Ekonomiskā analīze'!Y$18*'Jutīguma analīze_EA'!$B63</f>
        <v>236571.93045115899</v>
      </c>
      <c r="AA63" s="515">
        <f>'Ekonomiskā analīze'!Z$21+'Ekonomiskā analīze'!Z$18*'Jutīguma analīze_EA'!$B63</f>
        <v>240451.47862145631</v>
      </c>
      <c r="AB63" s="515">
        <f>'Ekonomiskā analīze'!AA$21+'Ekonomiskā analīze'!AA$18*'Jutīguma analīze_EA'!$B63</f>
        <v>245036.65433648226</v>
      </c>
      <c r="AC63" s="515">
        <f>'Ekonomiskā analīze'!AB$21+'Ekonomiskā analīze'!AB$18*'Jutīguma analīze_EA'!$B63</f>
        <v>246796.46577228644</v>
      </c>
      <c r="AD63" s="515">
        <f>'Ekonomiskā analīze'!AC$21+'Ekonomiskā analīze'!AC$18*'Jutīguma analīze_EA'!$B63</f>
        <v>214371.12280132575</v>
      </c>
      <c r="AE63" s="515">
        <f>'Ekonomiskā analīze'!AD$21+'Ekonomiskā analīze'!AD$18*'Jutīguma analīze_EA'!$B63</f>
        <v>143086.0804444493</v>
      </c>
      <c r="AF63" s="515">
        <f>'Ekonomiskā analīze'!AE$21+'Ekonomiskā analīze'!AE$18*'Jutīguma analīze_EA'!$B63</f>
        <v>143898.59187298125</v>
      </c>
      <c r="AG63" s="515">
        <f>'Ekonomiskā analīze'!AF$21+'Ekonomiskā analīze'!AF$18*'Jutīguma analīze_EA'!$B63</f>
        <v>137307.81389065654</v>
      </c>
      <c r="AH63" s="515">
        <f>'Ekonomiskā analīze'!AG$21+'Ekonomiskā analīze'!AG$18*'Jutīguma analīze_EA'!$B63</f>
        <v>688696.11320002226</v>
      </c>
      <c r="AI63" s="515">
        <f>'Ekonomiskā analīze'!AH$21+'Ekonomiskā analīze'!AH$18*'Jutīguma analīze_EA'!$B63</f>
        <v>142806.412509388</v>
      </c>
    </row>
    <row r="64" spans="1:35" ht="12.75" x14ac:dyDescent="0.2">
      <c r="A64" s="795"/>
      <c r="B64" s="115">
        <v>-0.1</v>
      </c>
      <c r="C64" s="515">
        <f>'Ekonomiskā analīze'!B$21+'Ekonomiskā analīze'!B$18*'Jutīguma analīze_EA'!$B64</f>
        <v>-591813.79999999993</v>
      </c>
      <c r="D64" s="515">
        <f>'Ekonomiskā analīze'!C$21+'Ekonomiskā analīze'!C$18*'Jutīguma analīze_EA'!$B64</f>
        <v>-329600.46999999997</v>
      </c>
      <c r="E64" s="515">
        <f>'Ekonomiskā analīze'!D$21+'Ekonomiskā analīze'!D$18*'Jutīguma analīze_EA'!$B64</f>
        <v>-502745</v>
      </c>
      <c r="F64" s="515">
        <f>'Ekonomiskā analīze'!E$21+'Ekonomiskā analīze'!E$18*'Jutīguma analīze_EA'!$B64</f>
        <v>29568.416909130548</v>
      </c>
      <c r="G64" s="515">
        <f>'Ekonomiskā analīze'!F$21+'Ekonomiskā analīze'!F$18*'Jutīguma analīze_EA'!$B64</f>
        <v>49497.154056035863</v>
      </c>
      <c r="H64" s="515">
        <f>'Ekonomiskā analīze'!G$21+'Ekonomiskā analīze'!G$18*'Jutīguma analīze_EA'!$B64</f>
        <v>84420.033185212233</v>
      </c>
      <c r="I64" s="515">
        <f>'Ekonomiskā analīze'!H$21+'Ekonomiskā analīze'!H$18*'Jutīguma analīze_EA'!$B64</f>
        <v>115070.79577162983</v>
      </c>
      <c r="J64" s="515">
        <f>'Ekonomiskā analīze'!I$21+'Ekonomiskā analīze'!I$18*'Jutīguma analīze_EA'!$B64</f>
        <v>150690.28759445329</v>
      </c>
      <c r="K64" s="515">
        <f>'Ekonomiskā analīze'!J$21+'Ekonomiskā analīze'!J$18*'Jutīguma analīze_EA'!$B64</f>
        <v>157144.7359345475</v>
      </c>
      <c r="L64" s="515">
        <f>'Ekonomiskā analīze'!K$21+'Ekonomiskā analīze'!K$18*'Jutīguma analīze_EA'!$B64</f>
        <v>159782.23682209969</v>
      </c>
      <c r="M64" s="515">
        <f>'Ekonomiskā analīze'!L$21+'Ekonomiskā analīze'!L$18*'Jutīguma analīze_EA'!$B64</f>
        <v>159551.00576008478</v>
      </c>
      <c r="N64" s="515">
        <f>'Ekonomiskā analīze'!M$21+'Ekonomiskā analīze'!M$18*'Jutīguma analīze_EA'!$B64</f>
        <v>159656.27562988549</v>
      </c>
      <c r="O64" s="515">
        <f>'Ekonomiskā analīze'!N$21+'Ekonomiskā analīze'!N$18*'Jutīguma analīze_EA'!$B64</f>
        <v>159247.49872420286</v>
      </c>
      <c r="P64" s="515">
        <f>'Ekonomiskā analīze'!O$21+'Ekonomiskā analīze'!O$18*'Jutīguma analīze_EA'!$B64</f>
        <v>157630.86092604886</v>
      </c>
      <c r="Q64" s="515">
        <f>'Ekonomiskā analīze'!P$21+'Ekonomiskā analīze'!P$18*'Jutīguma analīze_EA'!$B64</f>
        <v>161056.48225919422</v>
      </c>
      <c r="R64" s="515">
        <f>'Ekonomiskā analīze'!Q$21+'Ekonomiskā analīze'!Q$18*'Jutīguma analīze_EA'!$B64</f>
        <v>167153.40816650071</v>
      </c>
      <c r="S64" s="515">
        <f>'Ekonomiskā analīze'!R$21+'Ekonomiskā analīze'!R$18*'Jutīguma analīze_EA'!$B64</f>
        <v>197524.52908433529</v>
      </c>
      <c r="T64" s="515">
        <f>'Ekonomiskā analīze'!S$21+'Ekonomiskā analīze'!S$18*'Jutīguma analīze_EA'!$B64</f>
        <v>206115.95155841578</v>
      </c>
      <c r="U64" s="515">
        <f>'Ekonomiskā analīze'!T$21+'Ekonomiskā analīze'!T$18*'Jutīguma analīze_EA'!$B64</f>
        <v>205391.14234226514</v>
      </c>
      <c r="V64" s="515">
        <f>'Ekonomiskā analīze'!U$21+'Ekonomiskā analīze'!U$18*'Jutīguma analīze_EA'!$B64</f>
        <v>209666.91130341124</v>
      </c>
      <c r="W64" s="515">
        <f>'Ekonomiskā analīze'!V$21+'Ekonomiskā analīze'!V$18*'Jutīguma analīze_EA'!$B64</f>
        <v>221725.4271487493</v>
      </c>
      <c r="X64" s="515">
        <f>'Ekonomiskā analīze'!W$21+'Ekonomiskā analīze'!W$18*'Jutīguma analīze_EA'!$B64</f>
        <v>225979.69517807922</v>
      </c>
      <c r="Y64" s="515">
        <f>'Ekonomiskā analīze'!X$21+'Ekonomiskā analīze'!X$18*'Jutīguma analīze_EA'!$B64</f>
        <v>232996.85938267599</v>
      </c>
      <c r="Z64" s="515">
        <f>'Ekonomiskā analīze'!Y$21+'Ekonomiskā analīze'!Y$18*'Jutīguma analīze_EA'!$B64</f>
        <v>237251.12741200643</v>
      </c>
      <c r="AA64" s="515">
        <f>'Ekonomiskā analīze'!Z$21+'Ekonomiskā analīze'!Z$18*'Jutīguma analīze_EA'!$B64</f>
        <v>241146.62026860702</v>
      </c>
      <c r="AB64" s="515">
        <f>'Ekonomiskā analīze'!AA$21+'Ekonomiskā analīze'!AA$18*'Jutīguma analīze_EA'!$B64</f>
        <v>245747.7406699362</v>
      </c>
      <c r="AC64" s="515">
        <f>'Ekonomiskā analīze'!AB$21+'Ekonomiskā analīze'!AB$18*'Jutīguma analīze_EA'!$B64</f>
        <v>247468.20632096866</v>
      </c>
      <c r="AD64" s="515">
        <f>'Ekonomiskā analīze'!AC$21+'Ekonomiskā analīze'!AC$18*'Jutīguma analīze_EA'!$B64</f>
        <v>214148.51756523619</v>
      </c>
      <c r="AE64" s="515">
        <f>'Ekonomiskā analīze'!AD$21+'Ekonomiskā analīze'!AD$18*'Jutīguma analīze_EA'!$B64</f>
        <v>140764.62942358802</v>
      </c>
      <c r="AF64" s="515">
        <f>'Ekonomiskā analīze'!AE$21+'Ekonomiskā analīze'!AE$18*'Jutīguma analīze_EA'!$B64</f>
        <v>141487.54506734823</v>
      </c>
      <c r="AG64" s="515">
        <f>'Ekonomiskā analīze'!AF$21+'Ekonomiskā analīze'!AF$18*'Jutīguma analīze_EA'!$B64</f>
        <v>134851.0266667612</v>
      </c>
      <c r="AH64" s="515">
        <f>'Ekonomiskā analīze'!AG$21+'Ekonomiskā analīze'!AG$18*'Jutīguma analīze_EA'!$B64</f>
        <v>686193.58555786463</v>
      </c>
      <c r="AI64" s="515">
        <f>'Ekonomiskā analīze'!AH$21+'Ekonomiskā analīze'!AH$18*'Jutīguma analīze_EA'!$B64</f>
        <v>140258.144448968</v>
      </c>
    </row>
    <row r="65" spans="1:35" ht="12.75" x14ac:dyDescent="0.2">
      <c r="A65" s="504"/>
      <c r="B65" s="504"/>
      <c r="C65" s="508"/>
    </row>
    <row r="66" spans="1:35" ht="25.5" x14ac:dyDescent="0.2">
      <c r="A66" s="513"/>
      <c r="B66" s="514" t="s">
        <v>184</v>
      </c>
      <c r="C66" s="514">
        <f t="shared" ref="C66:AI66" si="3">C38</f>
        <v>2017</v>
      </c>
      <c r="D66" s="514">
        <f t="shared" si="3"/>
        <v>2018</v>
      </c>
      <c r="E66" s="514">
        <f t="shared" si="3"/>
        <v>2019</v>
      </c>
      <c r="F66" s="514">
        <f t="shared" si="3"/>
        <v>2020</v>
      </c>
      <c r="G66" s="514">
        <f t="shared" si="3"/>
        <v>2021</v>
      </c>
      <c r="H66" s="514">
        <f t="shared" si="3"/>
        <v>2022</v>
      </c>
      <c r="I66" s="514">
        <f t="shared" si="3"/>
        <v>2023</v>
      </c>
      <c r="J66" s="514">
        <f t="shared" si="3"/>
        <v>2024</v>
      </c>
      <c r="K66" s="514">
        <f t="shared" si="3"/>
        <v>2025</v>
      </c>
      <c r="L66" s="514">
        <f t="shared" si="3"/>
        <v>2026</v>
      </c>
      <c r="M66" s="514">
        <f t="shared" si="3"/>
        <v>2027</v>
      </c>
      <c r="N66" s="514">
        <f t="shared" si="3"/>
        <v>2028</v>
      </c>
      <c r="O66" s="514">
        <f t="shared" si="3"/>
        <v>2029</v>
      </c>
      <c r="P66" s="514">
        <f t="shared" si="3"/>
        <v>2030</v>
      </c>
      <c r="Q66" s="514">
        <f t="shared" si="3"/>
        <v>2031</v>
      </c>
      <c r="R66" s="514">
        <f t="shared" si="3"/>
        <v>2032</v>
      </c>
      <c r="S66" s="514">
        <f t="shared" si="3"/>
        <v>2033</v>
      </c>
      <c r="T66" s="514">
        <f t="shared" si="3"/>
        <v>2034</v>
      </c>
      <c r="U66" s="514">
        <f t="shared" si="3"/>
        <v>2035</v>
      </c>
      <c r="V66" s="514">
        <f t="shared" si="3"/>
        <v>2036</v>
      </c>
      <c r="W66" s="514">
        <f t="shared" si="3"/>
        <v>2037</v>
      </c>
      <c r="X66" s="514">
        <f t="shared" si="3"/>
        <v>2038</v>
      </c>
      <c r="Y66" s="514">
        <f t="shared" si="3"/>
        <v>2039</v>
      </c>
      <c r="Z66" s="514">
        <f t="shared" si="3"/>
        <v>2040</v>
      </c>
      <c r="AA66" s="514">
        <f t="shared" si="3"/>
        <v>2041</v>
      </c>
      <c r="AB66" s="514">
        <f t="shared" si="3"/>
        <v>2042</v>
      </c>
      <c r="AC66" s="514">
        <f t="shared" si="3"/>
        <v>2043</v>
      </c>
      <c r="AD66" s="514">
        <f t="shared" si="3"/>
        <v>2044</v>
      </c>
      <c r="AE66" s="514">
        <f t="shared" si="3"/>
        <v>2045</v>
      </c>
      <c r="AF66" s="514">
        <f t="shared" si="3"/>
        <v>2046</v>
      </c>
      <c r="AG66" s="514">
        <f t="shared" si="3"/>
        <v>2047</v>
      </c>
      <c r="AH66" s="514">
        <f t="shared" si="3"/>
        <v>2048</v>
      </c>
      <c r="AI66" s="514">
        <f t="shared" si="3"/>
        <v>2049</v>
      </c>
    </row>
    <row r="67" spans="1:35" ht="12.75" x14ac:dyDescent="0.2">
      <c r="A67" s="792" t="s">
        <v>145</v>
      </c>
      <c r="B67" s="777"/>
      <c r="C67" s="777"/>
      <c r="D67" s="777"/>
      <c r="E67" s="777"/>
      <c r="F67" s="777"/>
      <c r="G67" s="777"/>
      <c r="H67" s="777"/>
      <c r="I67" s="777"/>
      <c r="J67" s="777"/>
      <c r="K67" s="777"/>
      <c r="L67" s="777"/>
      <c r="M67" s="777"/>
      <c r="N67" s="777"/>
      <c r="O67" s="777"/>
      <c r="P67" s="777"/>
      <c r="Q67" s="777"/>
      <c r="R67" s="777"/>
      <c r="S67" s="777"/>
      <c r="T67" s="777"/>
      <c r="U67" s="777"/>
      <c r="V67" s="777"/>
      <c r="W67" s="777"/>
      <c r="X67" s="777"/>
      <c r="Y67" s="777"/>
      <c r="Z67" s="777"/>
      <c r="AA67" s="777"/>
      <c r="AB67" s="777"/>
      <c r="AC67" s="777"/>
      <c r="AD67" s="777"/>
      <c r="AE67" s="777"/>
      <c r="AF67" s="777"/>
      <c r="AG67" s="777"/>
      <c r="AH67" s="777"/>
      <c r="AI67" s="777"/>
    </row>
    <row r="68" spans="1:35" ht="12.75" x14ac:dyDescent="0.2">
      <c r="A68" s="793"/>
      <c r="B68" s="115">
        <v>0.1</v>
      </c>
      <c r="C68" s="515">
        <f>'Ekonomiskā analīze'!B$21+'Ekonomiskā analīze'!B$19*'Jutīguma analīze_EA'!$B68</f>
        <v>-532632.41999999993</v>
      </c>
      <c r="D68" s="515">
        <f>'Ekonomiskā analīze'!C$21+'Ekonomiskā analīze'!C$19*'Jutīguma analīze_EA'!$B68</f>
        <v>-294568.42299999995</v>
      </c>
      <c r="E68" s="515">
        <f>'Ekonomiskā analīze'!D$21+'Ekonomiskā analīze'!D$19*'Jutīguma analīze_EA'!$B68</f>
        <v>-450398.5</v>
      </c>
      <c r="F68" s="515">
        <f>'Ekonomiskā analīze'!E$21+'Ekonomiskā analīze'!E$19*'Jutīguma analīze_EA'!$B68</f>
        <v>29716.867801467524</v>
      </c>
      <c r="G68" s="515">
        <f>'Ekonomiskā analīze'!F$21+'Ekonomiskā analīze'!F$19*'Jutīguma analīze_EA'!$B68</f>
        <v>49723.562160130445</v>
      </c>
      <c r="H68" s="515">
        <f>'Ekonomiskā analīze'!G$21+'Ekonomiskā analīze'!G$19*'Jutīguma analīze_EA'!$B68</f>
        <v>84726.736030593005</v>
      </c>
      <c r="I68" s="515">
        <f>'Ekonomiskā analīze'!H$21+'Ekonomiskā analīze'!H$19*'Jutīguma analīze_EA'!$B68</f>
        <v>115383.08945353526</v>
      </c>
      <c r="J68" s="515">
        <f>'Ekonomiskā analīze'!I$21+'Ekonomiskā analīze'!I$19*'Jutīguma analīze_EA'!$B68</f>
        <v>151008.17611288338</v>
      </c>
      <c r="K68" s="515">
        <f>'Ekonomiskā analīze'!J$21+'Ekonomiskā analīze'!J$19*'Jutīguma analīze_EA'!$B68</f>
        <v>157468.10528950224</v>
      </c>
      <c r="L68" s="515">
        <f>'Ekonomiskā analīze'!K$21+'Ekonomiskā analīze'!K$19*'Jutīguma analīze_EA'!$B68</f>
        <v>160111.08701357909</v>
      </c>
      <c r="M68" s="515">
        <f>'Ekonomiskā analīze'!L$21+'Ekonomiskā analīze'!L$19*'Jutīguma analīze_EA'!$B68</f>
        <v>160106.49867238884</v>
      </c>
      <c r="N68" s="515">
        <f>'Ekonomiskā analīze'!M$21+'Ekonomiskā analīze'!M$19*'Jutīguma analīze_EA'!$B68</f>
        <v>160438.41126301422</v>
      </c>
      <c r="O68" s="515">
        <f>'Ekonomiskā analīze'!N$21+'Ekonomiskā analīze'!N$19*'Jutīguma analīze_EA'!$B68</f>
        <v>160256.27707815624</v>
      </c>
      <c r="P68" s="515">
        <f>'Ekonomiskā analīze'!O$21+'Ekonomiskā analīze'!O$19*'Jutīguma analīze_EA'!$B68</f>
        <v>158647.86053478922</v>
      </c>
      <c r="Q68" s="515">
        <f>'Ekonomiskā analīze'!P$21+'Ekonomiskā analīze'!P$19*'Jutīguma analīze_EA'!$B68</f>
        <v>162081.70312272158</v>
      </c>
      <c r="R68" s="515">
        <f>'Ekonomiskā analīze'!Q$21+'Ekonomiskā analīze'!Q$19*'Jutīguma analīze_EA'!$B68</f>
        <v>168186.85028481504</v>
      </c>
      <c r="S68" s="515">
        <f>'Ekonomiskā analīze'!R$21+'Ekonomiskā analīze'!R$19*'Jutīguma analīze_EA'!$B68</f>
        <v>195944.19245743658</v>
      </c>
      <c r="T68" s="515">
        <f>'Ekonomiskā analīze'!S$21+'Ekonomiskā analīze'!S$19*'Jutīguma analīze_EA'!$B68</f>
        <v>204486.83618630408</v>
      </c>
      <c r="U68" s="515">
        <f>'Ekonomiskā analīze'!T$21+'Ekonomiskā analīze'!T$19*'Jutīguma analīze_EA'!$B68</f>
        <v>203713.24822494044</v>
      </c>
      <c r="V68" s="515">
        <f>'Ekonomiskā analīze'!U$21+'Ekonomiskā analīze'!U$19*'Jutīguma analīze_EA'!$B68</f>
        <v>207940.23844087351</v>
      </c>
      <c r="W68" s="515">
        <f>'Ekonomiskā analīze'!V$21+'Ekonomiskā analīze'!V$19*'Jutīguma analīze_EA'!$B68</f>
        <v>219199.97554099854</v>
      </c>
      <c r="X68" s="515">
        <f>'Ekonomiskā analīze'!W$21+'Ekonomiskā analīze'!W$19*'Jutīguma analīze_EA'!$B68</f>
        <v>223390.46482511546</v>
      </c>
      <c r="Y68" s="515">
        <f>'Ekonomiskā analīze'!X$21+'Ekonomiskā analīze'!X$19*'Jutīguma analīze_EA'!$B68</f>
        <v>230343.85028449923</v>
      </c>
      <c r="Z68" s="515">
        <f>'Ekonomiskā analīze'!Y$21+'Ekonomiskā analīze'!Y$19*'Jutīguma analīze_EA'!$B68</f>
        <v>234534.33956861665</v>
      </c>
      <c r="AA68" s="515">
        <f>'Ekonomiskā analīze'!Z$21+'Ekonomiskā analīze'!Z$19*'Jutīguma analīze_EA'!$B68</f>
        <v>238366.0536800042</v>
      </c>
      <c r="AB68" s="515">
        <f>'Ekonomiskā analīze'!AA$21+'Ekonomiskā analīze'!AA$19*'Jutīguma analīze_EA'!$B68</f>
        <v>242903.39533612039</v>
      </c>
      <c r="AC68" s="515">
        <f>'Ekonomiskā analīze'!AB$21+'Ekonomiskā analīze'!AB$19*'Jutīguma analīze_EA'!$B68</f>
        <v>244781.24412623982</v>
      </c>
      <c r="AD68" s="515">
        <f>'Ekonomiskā analīze'!AC$21+'Ekonomiskā analīze'!AC$19*'Jutīguma analīze_EA'!$B68</f>
        <v>215038.93850959436</v>
      </c>
      <c r="AE68" s="515">
        <f>'Ekonomiskā analīze'!AD$21+'Ekonomiskā analīze'!AD$19*'Jutīguma analīze_EA'!$B68</f>
        <v>150050.43350703316</v>
      </c>
      <c r="AF68" s="515">
        <f>'Ekonomiskā analīze'!AE$21+'Ekonomiskā analīze'!AE$19*'Jutīguma analīze_EA'!$B68</f>
        <v>151131.73228988034</v>
      </c>
      <c r="AG68" s="515">
        <f>'Ekonomiskā analīze'!AF$21+'Ekonomiskā analīze'!AF$19*'Jutīguma analīze_EA'!$B68</f>
        <v>144678.17556234263</v>
      </c>
      <c r="AH68" s="515">
        <f>'Ekonomiskā analīze'!AG$21+'Ekonomiskā analīze'!AG$19*'Jutīguma analīze_EA'!$B68</f>
        <v>696203.69612649537</v>
      </c>
      <c r="AI68" s="515">
        <f>'Ekonomiskā analīze'!AH$21+'Ekonomiskā analīze'!AH$19*'Jutīguma analīze_EA'!$B68</f>
        <v>150451.21669064806</v>
      </c>
    </row>
    <row r="69" spans="1:35" ht="12.75" x14ac:dyDescent="0.2">
      <c r="A69" s="794"/>
      <c r="B69" s="115">
        <v>7.4999999999999997E-2</v>
      </c>
      <c r="C69" s="515">
        <f>'Ekonomiskā analīze'!B$21+'Ekonomiskā analīze'!B$19*'Jutīguma analīze_EA'!$B69</f>
        <v>-547427.7649999999</v>
      </c>
      <c r="D69" s="515">
        <f>'Ekonomiskā analīze'!C$21+'Ekonomiskā analīze'!C$19*'Jutīguma analīze_EA'!$B69</f>
        <v>-303326.43474999996</v>
      </c>
      <c r="E69" s="515">
        <f>'Ekonomiskā analīze'!D$21+'Ekonomiskā analīze'!D$19*'Jutīguma analīze_EA'!$B69</f>
        <v>-463485.125</v>
      </c>
      <c r="F69" s="515">
        <f>'Ekonomiskā analīze'!E$21+'Ekonomiskā analīze'!E$19*'Jutīguma analīze_EA'!$B69</f>
        <v>29716.867801467524</v>
      </c>
      <c r="G69" s="515">
        <f>'Ekonomiskā analīze'!F$21+'Ekonomiskā analīze'!F$19*'Jutīguma analīze_EA'!$B69</f>
        <v>49723.562160130445</v>
      </c>
      <c r="H69" s="515">
        <f>'Ekonomiskā analīze'!G$21+'Ekonomiskā analīze'!G$19*'Jutīguma analīze_EA'!$B69</f>
        <v>84726.736030593005</v>
      </c>
      <c r="I69" s="515">
        <f>'Ekonomiskā analīze'!H$21+'Ekonomiskā analīze'!H$19*'Jutīguma analīze_EA'!$B69</f>
        <v>115383.08945353526</v>
      </c>
      <c r="J69" s="515">
        <f>'Ekonomiskā analīze'!I$21+'Ekonomiskā analīze'!I$19*'Jutīguma analīze_EA'!$B69</f>
        <v>151008.17611288338</v>
      </c>
      <c r="K69" s="515">
        <f>'Ekonomiskā analīze'!J$21+'Ekonomiskā analīze'!J$19*'Jutīguma analīze_EA'!$B69</f>
        <v>157468.10528950224</v>
      </c>
      <c r="L69" s="515">
        <f>'Ekonomiskā analīze'!K$21+'Ekonomiskā analīze'!K$19*'Jutīguma analīze_EA'!$B69</f>
        <v>160111.08701357909</v>
      </c>
      <c r="M69" s="515">
        <f>'Ekonomiskā analīze'!L$21+'Ekonomiskā analīze'!L$19*'Jutīguma analīze_EA'!$B69</f>
        <v>160106.49867238884</v>
      </c>
      <c r="N69" s="515">
        <f>'Ekonomiskā analīze'!M$21+'Ekonomiskā analīze'!M$19*'Jutīguma analīze_EA'!$B69</f>
        <v>160438.41126301422</v>
      </c>
      <c r="O69" s="515">
        <f>'Ekonomiskā analīze'!N$21+'Ekonomiskā analīze'!N$19*'Jutīguma analīze_EA'!$B69</f>
        <v>160256.27707815624</v>
      </c>
      <c r="P69" s="515">
        <f>'Ekonomiskā analīze'!O$21+'Ekonomiskā analīze'!O$19*'Jutīguma analīze_EA'!$B69</f>
        <v>158647.86053478922</v>
      </c>
      <c r="Q69" s="515">
        <f>'Ekonomiskā analīze'!P$21+'Ekonomiskā analīze'!P$19*'Jutīguma analīze_EA'!$B69</f>
        <v>162081.70312272158</v>
      </c>
      <c r="R69" s="515">
        <f>'Ekonomiskā analīze'!Q$21+'Ekonomiskā analīze'!Q$19*'Jutīguma analīze_EA'!$B69</f>
        <v>168186.85028481504</v>
      </c>
      <c r="S69" s="515">
        <f>'Ekonomiskā analīze'!R$21+'Ekonomiskā analīze'!R$19*'Jutīguma analīze_EA'!$B69</f>
        <v>195944.19245743658</v>
      </c>
      <c r="T69" s="515">
        <f>'Ekonomiskā analīze'!S$21+'Ekonomiskā analīze'!S$19*'Jutīguma analīze_EA'!$B69</f>
        <v>204486.83618630408</v>
      </c>
      <c r="U69" s="515">
        <f>'Ekonomiskā analīze'!T$21+'Ekonomiskā analīze'!T$19*'Jutīguma analīze_EA'!$B69</f>
        <v>203713.24822494044</v>
      </c>
      <c r="V69" s="515">
        <f>'Ekonomiskā analīze'!U$21+'Ekonomiskā analīze'!U$19*'Jutīguma analīze_EA'!$B69</f>
        <v>207940.23844087351</v>
      </c>
      <c r="W69" s="515">
        <f>'Ekonomiskā analīze'!V$21+'Ekonomiskā analīze'!V$19*'Jutīguma analīze_EA'!$B69</f>
        <v>219199.97554099854</v>
      </c>
      <c r="X69" s="515">
        <f>'Ekonomiskā analīze'!W$21+'Ekonomiskā analīze'!W$19*'Jutīguma analīze_EA'!$B69</f>
        <v>223390.46482511546</v>
      </c>
      <c r="Y69" s="515">
        <f>'Ekonomiskā analīze'!X$21+'Ekonomiskā analīze'!X$19*'Jutīguma analīze_EA'!$B69</f>
        <v>230343.85028449923</v>
      </c>
      <c r="Z69" s="515">
        <f>'Ekonomiskā analīze'!Y$21+'Ekonomiskā analīze'!Y$19*'Jutīguma analīze_EA'!$B69</f>
        <v>234534.33956861665</v>
      </c>
      <c r="AA69" s="515">
        <f>'Ekonomiskā analīze'!Z$21+'Ekonomiskā analīze'!Z$19*'Jutīguma analīze_EA'!$B69</f>
        <v>238366.0536800042</v>
      </c>
      <c r="AB69" s="515">
        <f>'Ekonomiskā analīze'!AA$21+'Ekonomiskā analīze'!AA$19*'Jutīguma analīze_EA'!$B69</f>
        <v>242903.39533612039</v>
      </c>
      <c r="AC69" s="515">
        <f>'Ekonomiskā analīze'!AB$21+'Ekonomiskā analīze'!AB$19*'Jutīguma analīze_EA'!$B69</f>
        <v>244781.24412623982</v>
      </c>
      <c r="AD69" s="515">
        <f>'Ekonomiskā analīze'!AC$21+'Ekonomiskā analīze'!AC$19*'Jutīguma analīze_EA'!$B69</f>
        <v>215038.93850959436</v>
      </c>
      <c r="AE69" s="515">
        <f>'Ekonomiskā analīze'!AD$21+'Ekonomiskā analīze'!AD$19*'Jutīguma analīze_EA'!$B69</f>
        <v>150050.43350703316</v>
      </c>
      <c r="AF69" s="515">
        <f>'Ekonomiskā analīze'!AE$21+'Ekonomiskā analīze'!AE$19*'Jutīguma analīze_EA'!$B69</f>
        <v>151131.73228988034</v>
      </c>
      <c r="AG69" s="515">
        <f>'Ekonomiskā analīze'!AF$21+'Ekonomiskā analīze'!AF$19*'Jutīguma analīze_EA'!$B69</f>
        <v>144678.17556234263</v>
      </c>
      <c r="AH69" s="515">
        <f>'Ekonomiskā analīze'!AG$21+'Ekonomiskā analīze'!AG$19*'Jutīguma analīze_EA'!$B69</f>
        <v>696203.69612649537</v>
      </c>
      <c r="AI69" s="515">
        <f>'Ekonomiskā analīze'!AH$21+'Ekonomiskā analīze'!AH$19*'Jutīguma analīze_EA'!$B69</f>
        <v>150451.21669064806</v>
      </c>
    </row>
    <row r="70" spans="1:35" ht="12.75" x14ac:dyDescent="0.2">
      <c r="A70" s="794"/>
      <c r="B70" s="115">
        <v>0.05</v>
      </c>
      <c r="C70" s="515">
        <f>'Ekonomiskā analīze'!B$21+'Ekonomiskā analīze'!B$19*'Jutīguma analīze_EA'!$B70</f>
        <v>-562223.11</v>
      </c>
      <c r="D70" s="515">
        <f>'Ekonomiskā analīze'!C$21+'Ekonomiskā analīze'!C$19*'Jutīguma analīze_EA'!$B70</f>
        <v>-312084.44649999996</v>
      </c>
      <c r="E70" s="515">
        <f>'Ekonomiskā analīze'!D$21+'Ekonomiskā analīze'!D$19*'Jutīguma analīze_EA'!$B70</f>
        <v>-476571.75</v>
      </c>
      <c r="F70" s="515">
        <f>'Ekonomiskā analīze'!E$21+'Ekonomiskā analīze'!E$19*'Jutīguma analīze_EA'!$B70</f>
        <v>29716.867801467524</v>
      </c>
      <c r="G70" s="515">
        <f>'Ekonomiskā analīze'!F$21+'Ekonomiskā analīze'!F$19*'Jutīguma analīze_EA'!$B70</f>
        <v>49723.562160130445</v>
      </c>
      <c r="H70" s="515">
        <f>'Ekonomiskā analīze'!G$21+'Ekonomiskā analīze'!G$19*'Jutīguma analīze_EA'!$B70</f>
        <v>84726.736030593005</v>
      </c>
      <c r="I70" s="515">
        <f>'Ekonomiskā analīze'!H$21+'Ekonomiskā analīze'!H$19*'Jutīguma analīze_EA'!$B70</f>
        <v>115383.08945353526</v>
      </c>
      <c r="J70" s="515">
        <f>'Ekonomiskā analīze'!I$21+'Ekonomiskā analīze'!I$19*'Jutīguma analīze_EA'!$B70</f>
        <v>151008.17611288338</v>
      </c>
      <c r="K70" s="515">
        <f>'Ekonomiskā analīze'!J$21+'Ekonomiskā analīze'!J$19*'Jutīguma analīze_EA'!$B70</f>
        <v>157468.10528950224</v>
      </c>
      <c r="L70" s="515">
        <f>'Ekonomiskā analīze'!K$21+'Ekonomiskā analīze'!K$19*'Jutīguma analīze_EA'!$B70</f>
        <v>160111.08701357909</v>
      </c>
      <c r="M70" s="515">
        <f>'Ekonomiskā analīze'!L$21+'Ekonomiskā analīze'!L$19*'Jutīguma analīze_EA'!$B70</f>
        <v>160106.49867238884</v>
      </c>
      <c r="N70" s="515">
        <f>'Ekonomiskā analīze'!M$21+'Ekonomiskā analīze'!M$19*'Jutīguma analīze_EA'!$B70</f>
        <v>160438.41126301422</v>
      </c>
      <c r="O70" s="515">
        <f>'Ekonomiskā analīze'!N$21+'Ekonomiskā analīze'!N$19*'Jutīguma analīze_EA'!$B70</f>
        <v>160256.27707815624</v>
      </c>
      <c r="P70" s="515">
        <f>'Ekonomiskā analīze'!O$21+'Ekonomiskā analīze'!O$19*'Jutīguma analīze_EA'!$B70</f>
        <v>158647.86053478922</v>
      </c>
      <c r="Q70" s="515">
        <f>'Ekonomiskā analīze'!P$21+'Ekonomiskā analīze'!P$19*'Jutīguma analīze_EA'!$B70</f>
        <v>162081.70312272158</v>
      </c>
      <c r="R70" s="515">
        <f>'Ekonomiskā analīze'!Q$21+'Ekonomiskā analīze'!Q$19*'Jutīguma analīze_EA'!$B70</f>
        <v>168186.85028481504</v>
      </c>
      <c r="S70" s="515">
        <f>'Ekonomiskā analīze'!R$21+'Ekonomiskā analīze'!R$19*'Jutīguma analīze_EA'!$B70</f>
        <v>195944.19245743658</v>
      </c>
      <c r="T70" s="515">
        <f>'Ekonomiskā analīze'!S$21+'Ekonomiskā analīze'!S$19*'Jutīguma analīze_EA'!$B70</f>
        <v>204486.83618630408</v>
      </c>
      <c r="U70" s="515">
        <f>'Ekonomiskā analīze'!T$21+'Ekonomiskā analīze'!T$19*'Jutīguma analīze_EA'!$B70</f>
        <v>203713.24822494044</v>
      </c>
      <c r="V70" s="515">
        <f>'Ekonomiskā analīze'!U$21+'Ekonomiskā analīze'!U$19*'Jutīguma analīze_EA'!$B70</f>
        <v>207940.23844087351</v>
      </c>
      <c r="W70" s="515">
        <f>'Ekonomiskā analīze'!V$21+'Ekonomiskā analīze'!V$19*'Jutīguma analīze_EA'!$B70</f>
        <v>219199.97554099854</v>
      </c>
      <c r="X70" s="515">
        <f>'Ekonomiskā analīze'!W$21+'Ekonomiskā analīze'!W$19*'Jutīguma analīze_EA'!$B70</f>
        <v>223390.46482511546</v>
      </c>
      <c r="Y70" s="515">
        <f>'Ekonomiskā analīze'!X$21+'Ekonomiskā analīze'!X$19*'Jutīguma analīze_EA'!$B70</f>
        <v>230343.85028449923</v>
      </c>
      <c r="Z70" s="515">
        <f>'Ekonomiskā analīze'!Y$21+'Ekonomiskā analīze'!Y$19*'Jutīguma analīze_EA'!$B70</f>
        <v>234534.33956861665</v>
      </c>
      <c r="AA70" s="515">
        <f>'Ekonomiskā analīze'!Z$21+'Ekonomiskā analīze'!Z$19*'Jutīguma analīze_EA'!$B70</f>
        <v>238366.0536800042</v>
      </c>
      <c r="AB70" s="515">
        <f>'Ekonomiskā analīze'!AA$21+'Ekonomiskā analīze'!AA$19*'Jutīguma analīze_EA'!$B70</f>
        <v>242903.39533612039</v>
      </c>
      <c r="AC70" s="515">
        <f>'Ekonomiskā analīze'!AB$21+'Ekonomiskā analīze'!AB$19*'Jutīguma analīze_EA'!$B70</f>
        <v>244781.24412623982</v>
      </c>
      <c r="AD70" s="515">
        <f>'Ekonomiskā analīze'!AC$21+'Ekonomiskā analīze'!AC$19*'Jutīguma analīze_EA'!$B70</f>
        <v>215038.93850959436</v>
      </c>
      <c r="AE70" s="515">
        <f>'Ekonomiskā analīze'!AD$21+'Ekonomiskā analīze'!AD$19*'Jutīguma analīze_EA'!$B70</f>
        <v>150050.43350703316</v>
      </c>
      <c r="AF70" s="515">
        <f>'Ekonomiskā analīze'!AE$21+'Ekonomiskā analīze'!AE$19*'Jutīguma analīze_EA'!$B70</f>
        <v>151131.73228988034</v>
      </c>
      <c r="AG70" s="515">
        <f>'Ekonomiskā analīze'!AF$21+'Ekonomiskā analīze'!AF$19*'Jutīguma analīze_EA'!$B70</f>
        <v>144678.17556234263</v>
      </c>
      <c r="AH70" s="515">
        <f>'Ekonomiskā analīze'!AG$21+'Ekonomiskā analīze'!AG$19*'Jutīguma analīze_EA'!$B70</f>
        <v>696203.69612649537</v>
      </c>
      <c r="AI70" s="515">
        <f>'Ekonomiskā analīze'!AH$21+'Ekonomiskā analīze'!AH$19*'Jutīguma analīze_EA'!$B70</f>
        <v>150451.21669064806</v>
      </c>
    </row>
    <row r="71" spans="1:35" ht="12.75" x14ac:dyDescent="0.2">
      <c r="A71" s="794"/>
      <c r="B71" s="115">
        <v>2.5000000000000001E-2</v>
      </c>
      <c r="C71" s="515">
        <f>'Ekonomiskā analīze'!B$21+'Ekonomiskā analīze'!B$19*'Jutīguma analīze_EA'!$B71</f>
        <v>-577018.45499999996</v>
      </c>
      <c r="D71" s="515">
        <f>'Ekonomiskā analīze'!C$21+'Ekonomiskā analīze'!C$19*'Jutīguma analīze_EA'!$B71</f>
        <v>-320842.45824999997</v>
      </c>
      <c r="E71" s="515">
        <f>'Ekonomiskā analīze'!D$21+'Ekonomiskā analīze'!D$19*'Jutīguma analīze_EA'!$B71</f>
        <v>-489658.375</v>
      </c>
      <c r="F71" s="515">
        <f>'Ekonomiskā analīze'!E$21+'Ekonomiskā analīze'!E$19*'Jutīguma analīze_EA'!$B71</f>
        <v>29716.867801467524</v>
      </c>
      <c r="G71" s="515">
        <f>'Ekonomiskā analīze'!F$21+'Ekonomiskā analīze'!F$19*'Jutīguma analīze_EA'!$B71</f>
        <v>49723.562160130445</v>
      </c>
      <c r="H71" s="515">
        <f>'Ekonomiskā analīze'!G$21+'Ekonomiskā analīze'!G$19*'Jutīguma analīze_EA'!$B71</f>
        <v>84726.736030593005</v>
      </c>
      <c r="I71" s="515">
        <f>'Ekonomiskā analīze'!H$21+'Ekonomiskā analīze'!H$19*'Jutīguma analīze_EA'!$B71</f>
        <v>115383.08945353526</v>
      </c>
      <c r="J71" s="515">
        <f>'Ekonomiskā analīze'!I$21+'Ekonomiskā analīze'!I$19*'Jutīguma analīze_EA'!$B71</f>
        <v>151008.17611288338</v>
      </c>
      <c r="K71" s="515">
        <f>'Ekonomiskā analīze'!J$21+'Ekonomiskā analīze'!J$19*'Jutīguma analīze_EA'!$B71</f>
        <v>157468.10528950224</v>
      </c>
      <c r="L71" s="515">
        <f>'Ekonomiskā analīze'!K$21+'Ekonomiskā analīze'!K$19*'Jutīguma analīze_EA'!$B71</f>
        <v>160111.08701357909</v>
      </c>
      <c r="M71" s="515">
        <f>'Ekonomiskā analīze'!L$21+'Ekonomiskā analīze'!L$19*'Jutīguma analīze_EA'!$B71</f>
        <v>160106.49867238884</v>
      </c>
      <c r="N71" s="515">
        <f>'Ekonomiskā analīze'!M$21+'Ekonomiskā analīze'!M$19*'Jutīguma analīze_EA'!$B71</f>
        <v>160438.41126301422</v>
      </c>
      <c r="O71" s="515">
        <f>'Ekonomiskā analīze'!N$21+'Ekonomiskā analīze'!N$19*'Jutīguma analīze_EA'!$B71</f>
        <v>160256.27707815624</v>
      </c>
      <c r="P71" s="515">
        <f>'Ekonomiskā analīze'!O$21+'Ekonomiskā analīze'!O$19*'Jutīguma analīze_EA'!$B71</f>
        <v>158647.86053478922</v>
      </c>
      <c r="Q71" s="515">
        <f>'Ekonomiskā analīze'!P$21+'Ekonomiskā analīze'!P$19*'Jutīguma analīze_EA'!$B71</f>
        <v>162081.70312272158</v>
      </c>
      <c r="R71" s="515">
        <f>'Ekonomiskā analīze'!Q$21+'Ekonomiskā analīze'!Q$19*'Jutīguma analīze_EA'!$B71</f>
        <v>168186.85028481504</v>
      </c>
      <c r="S71" s="515">
        <f>'Ekonomiskā analīze'!R$21+'Ekonomiskā analīze'!R$19*'Jutīguma analīze_EA'!$B71</f>
        <v>195944.19245743658</v>
      </c>
      <c r="T71" s="515">
        <f>'Ekonomiskā analīze'!S$21+'Ekonomiskā analīze'!S$19*'Jutīguma analīze_EA'!$B71</f>
        <v>204486.83618630408</v>
      </c>
      <c r="U71" s="515">
        <f>'Ekonomiskā analīze'!T$21+'Ekonomiskā analīze'!T$19*'Jutīguma analīze_EA'!$B71</f>
        <v>203713.24822494044</v>
      </c>
      <c r="V71" s="515">
        <f>'Ekonomiskā analīze'!U$21+'Ekonomiskā analīze'!U$19*'Jutīguma analīze_EA'!$B71</f>
        <v>207940.23844087351</v>
      </c>
      <c r="W71" s="515">
        <f>'Ekonomiskā analīze'!V$21+'Ekonomiskā analīze'!V$19*'Jutīguma analīze_EA'!$B71</f>
        <v>219199.97554099854</v>
      </c>
      <c r="X71" s="515">
        <f>'Ekonomiskā analīze'!W$21+'Ekonomiskā analīze'!W$19*'Jutīguma analīze_EA'!$B71</f>
        <v>223390.46482511546</v>
      </c>
      <c r="Y71" s="515">
        <f>'Ekonomiskā analīze'!X$21+'Ekonomiskā analīze'!X$19*'Jutīguma analīze_EA'!$B71</f>
        <v>230343.85028449923</v>
      </c>
      <c r="Z71" s="515">
        <f>'Ekonomiskā analīze'!Y$21+'Ekonomiskā analīze'!Y$19*'Jutīguma analīze_EA'!$B71</f>
        <v>234534.33956861665</v>
      </c>
      <c r="AA71" s="515">
        <f>'Ekonomiskā analīze'!Z$21+'Ekonomiskā analīze'!Z$19*'Jutīguma analīze_EA'!$B71</f>
        <v>238366.0536800042</v>
      </c>
      <c r="AB71" s="515">
        <f>'Ekonomiskā analīze'!AA$21+'Ekonomiskā analīze'!AA$19*'Jutīguma analīze_EA'!$B71</f>
        <v>242903.39533612039</v>
      </c>
      <c r="AC71" s="515">
        <f>'Ekonomiskā analīze'!AB$21+'Ekonomiskā analīze'!AB$19*'Jutīguma analīze_EA'!$B71</f>
        <v>244781.24412623982</v>
      </c>
      <c r="AD71" s="515">
        <f>'Ekonomiskā analīze'!AC$21+'Ekonomiskā analīze'!AC$19*'Jutīguma analīze_EA'!$B71</f>
        <v>215038.93850959436</v>
      </c>
      <c r="AE71" s="515">
        <f>'Ekonomiskā analīze'!AD$21+'Ekonomiskā analīze'!AD$19*'Jutīguma analīze_EA'!$B71</f>
        <v>150050.43350703316</v>
      </c>
      <c r="AF71" s="515">
        <f>'Ekonomiskā analīze'!AE$21+'Ekonomiskā analīze'!AE$19*'Jutīguma analīze_EA'!$B71</f>
        <v>151131.73228988034</v>
      </c>
      <c r="AG71" s="515">
        <f>'Ekonomiskā analīze'!AF$21+'Ekonomiskā analīze'!AF$19*'Jutīguma analīze_EA'!$B71</f>
        <v>144678.17556234263</v>
      </c>
      <c r="AH71" s="515">
        <f>'Ekonomiskā analīze'!AG$21+'Ekonomiskā analīze'!AG$19*'Jutīguma analīze_EA'!$B71</f>
        <v>696203.69612649537</v>
      </c>
      <c r="AI71" s="515">
        <f>'Ekonomiskā analīze'!AH$21+'Ekonomiskā analīze'!AH$19*'Jutīguma analīze_EA'!$B71</f>
        <v>150451.21669064806</v>
      </c>
    </row>
    <row r="72" spans="1:35" ht="12.75" x14ac:dyDescent="0.2">
      <c r="A72" s="794"/>
      <c r="B72" s="115">
        <v>0.01</v>
      </c>
      <c r="C72" s="515">
        <f>'Ekonomiskā analīze'!B$21+'Ekonomiskā analīze'!B$19*'Jutīguma analīze_EA'!$B72</f>
        <v>-585895.66199999989</v>
      </c>
      <c r="D72" s="515">
        <f>'Ekonomiskā analīze'!C$21+'Ekonomiskā analīze'!C$19*'Jutīguma analīze_EA'!$B72</f>
        <v>-326097.26529999997</v>
      </c>
      <c r="E72" s="515">
        <f>'Ekonomiskā analīze'!D$21+'Ekonomiskā analīze'!D$19*'Jutīguma analīze_EA'!$B72</f>
        <v>-497510.35</v>
      </c>
      <c r="F72" s="515">
        <f>'Ekonomiskā analīze'!E$21+'Ekonomiskā analīze'!E$19*'Jutīguma analīze_EA'!$B72</f>
        <v>29716.867801467524</v>
      </c>
      <c r="G72" s="515">
        <f>'Ekonomiskā analīze'!F$21+'Ekonomiskā analīze'!F$19*'Jutīguma analīze_EA'!$B72</f>
        <v>49723.562160130445</v>
      </c>
      <c r="H72" s="515">
        <f>'Ekonomiskā analīze'!G$21+'Ekonomiskā analīze'!G$19*'Jutīguma analīze_EA'!$B72</f>
        <v>84726.736030593005</v>
      </c>
      <c r="I72" s="515">
        <f>'Ekonomiskā analīze'!H$21+'Ekonomiskā analīze'!H$19*'Jutīguma analīze_EA'!$B72</f>
        <v>115383.08945353526</v>
      </c>
      <c r="J72" s="515">
        <f>'Ekonomiskā analīze'!I$21+'Ekonomiskā analīze'!I$19*'Jutīguma analīze_EA'!$B72</f>
        <v>151008.17611288338</v>
      </c>
      <c r="K72" s="515">
        <f>'Ekonomiskā analīze'!J$21+'Ekonomiskā analīze'!J$19*'Jutīguma analīze_EA'!$B72</f>
        <v>157468.10528950224</v>
      </c>
      <c r="L72" s="515">
        <f>'Ekonomiskā analīze'!K$21+'Ekonomiskā analīze'!K$19*'Jutīguma analīze_EA'!$B72</f>
        <v>160111.08701357909</v>
      </c>
      <c r="M72" s="515">
        <f>'Ekonomiskā analīze'!L$21+'Ekonomiskā analīze'!L$19*'Jutīguma analīze_EA'!$B72</f>
        <v>160106.49867238884</v>
      </c>
      <c r="N72" s="515">
        <f>'Ekonomiskā analīze'!M$21+'Ekonomiskā analīze'!M$19*'Jutīguma analīze_EA'!$B72</f>
        <v>160438.41126301422</v>
      </c>
      <c r="O72" s="515">
        <f>'Ekonomiskā analīze'!N$21+'Ekonomiskā analīze'!N$19*'Jutīguma analīze_EA'!$B72</f>
        <v>160256.27707815624</v>
      </c>
      <c r="P72" s="515">
        <f>'Ekonomiskā analīze'!O$21+'Ekonomiskā analīze'!O$19*'Jutīguma analīze_EA'!$B72</f>
        <v>158647.86053478922</v>
      </c>
      <c r="Q72" s="515">
        <f>'Ekonomiskā analīze'!P$21+'Ekonomiskā analīze'!P$19*'Jutīguma analīze_EA'!$B72</f>
        <v>162081.70312272158</v>
      </c>
      <c r="R72" s="515">
        <f>'Ekonomiskā analīze'!Q$21+'Ekonomiskā analīze'!Q$19*'Jutīguma analīze_EA'!$B72</f>
        <v>168186.85028481504</v>
      </c>
      <c r="S72" s="515">
        <f>'Ekonomiskā analīze'!R$21+'Ekonomiskā analīze'!R$19*'Jutīguma analīze_EA'!$B72</f>
        <v>195944.19245743658</v>
      </c>
      <c r="T72" s="515">
        <f>'Ekonomiskā analīze'!S$21+'Ekonomiskā analīze'!S$19*'Jutīguma analīze_EA'!$B72</f>
        <v>204486.83618630408</v>
      </c>
      <c r="U72" s="515">
        <f>'Ekonomiskā analīze'!T$21+'Ekonomiskā analīze'!T$19*'Jutīguma analīze_EA'!$B72</f>
        <v>203713.24822494044</v>
      </c>
      <c r="V72" s="515">
        <f>'Ekonomiskā analīze'!U$21+'Ekonomiskā analīze'!U$19*'Jutīguma analīze_EA'!$B72</f>
        <v>207940.23844087351</v>
      </c>
      <c r="W72" s="515">
        <f>'Ekonomiskā analīze'!V$21+'Ekonomiskā analīze'!V$19*'Jutīguma analīze_EA'!$B72</f>
        <v>219199.97554099854</v>
      </c>
      <c r="X72" s="515">
        <f>'Ekonomiskā analīze'!W$21+'Ekonomiskā analīze'!W$19*'Jutīguma analīze_EA'!$B72</f>
        <v>223390.46482511546</v>
      </c>
      <c r="Y72" s="515">
        <f>'Ekonomiskā analīze'!X$21+'Ekonomiskā analīze'!X$19*'Jutīguma analīze_EA'!$B72</f>
        <v>230343.85028449923</v>
      </c>
      <c r="Z72" s="515">
        <f>'Ekonomiskā analīze'!Y$21+'Ekonomiskā analīze'!Y$19*'Jutīguma analīze_EA'!$B72</f>
        <v>234534.33956861665</v>
      </c>
      <c r="AA72" s="515">
        <f>'Ekonomiskā analīze'!Z$21+'Ekonomiskā analīze'!Z$19*'Jutīguma analīze_EA'!$B72</f>
        <v>238366.0536800042</v>
      </c>
      <c r="AB72" s="515">
        <f>'Ekonomiskā analīze'!AA$21+'Ekonomiskā analīze'!AA$19*'Jutīguma analīze_EA'!$B72</f>
        <v>242903.39533612039</v>
      </c>
      <c r="AC72" s="515">
        <f>'Ekonomiskā analīze'!AB$21+'Ekonomiskā analīze'!AB$19*'Jutīguma analīze_EA'!$B72</f>
        <v>244781.24412623982</v>
      </c>
      <c r="AD72" s="515">
        <f>'Ekonomiskā analīze'!AC$21+'Ekonomiskā analīze'!AC$19*'Jutīguma analīze_EA'!$B72</f>
        <v>215038.93850959436</v>
      </c>
      <c r="AE72" s="515">
        <f>'Ekonomiskā analīze'!AD$21+'Ekonomiskā analīze'!AD$19*'Jutīguma analīze_EA'!$B72</f>
        <v>150050.43350703316</v>
      </c>
      <c r="AF72" s="515">
        <f>'Ekonomiskā analīze'!AE$21+'Ekonomiskā analīze'!AE$19*'Jutīguma analīze_EA'!$B72</f>
        <v>151131.73228988034</v>
      </c>
      <c r="AG72" s="515">
        <f>'Ekonomiskā analīze'!AF$21+'Ekonomiskā analīze'!AF$19*'Jutīguma analīze_EA'!$B72</f>
        <v>144678.17556234263</v>
      </c>
      <c r="AH72" s="515">
        <f>'Ekonomiskā analīze'!AG$21+'Ekonomiskā analīze'!AG$19*'Jutīguma analīze_EA'!$B72</f>
        <v>696203.69612649537</v>
      </c>
      <c r="AI72" s="515">
        <f>'Ekonomiskā analīze'!AH$21+'Ekonomiskā analīze'!AH$19*'Jutīguma analīze_EA'!$B72</f>
        <v>150451.21669064806</v>
      </c>
    </row>
    <row r="73" spans="1:35" ht="12.75" x14ac:dyDescent="0.2">
      <c r="A73" s="794"/>
      <c r="B73" s="116">
        <v>0</v>
      </c>
      <c r="C73" s="583">
        <f>'Ekonomiskā analīze'!B$21+'Ekonomiskā analīze'!B$19*'Jutīguma analīze_EA'!$B73</f>
        <v>-591813.79999999993</v>
      </c>
      <c r="D73" s="583">
        <f>'Ekonomiskā analīze'!C$21+'Ekonomiskā analīze'!C$19*'Jutīguma analīze_EA'!$B73</f>
        <v>-329600.46999999997</v>
      </c>
      <c r="E73" s="583">
        <f>'Ekonomiskā analīze'!D$21+'Ekonomiskā analīze'!D$19*'Jutīguma analīze_EA'!$B73</f>
        <v>-502745</v>
      </c>
      <c r="F73" s="583">
        <f>'Ekonomiskā analīze'!E$21+'Ekonomiskā analīze'!E$19*'Jutīguma analīze_EA'!$B73</f>
        <v>29716.867801467524</v>
      </c>
      <c r="G73" s="583">
        <f>'Ekonomiskā analīze'!F$21+'Ekonomiskā analīze'!F$19*'Jutīguma analīze_EA'!$B73</f>
        <v>49723.562160130445</v>
      </c>
      <c r="H73" s="583">
        <f>'Ekonomiskā analīze'!G$21+'Ekonomiskā analīze'!G$19*'Jutīguma analīze_EA'!$B73</f>
        <v>84726.736030593005</v>
      </c>
      <c r="I73" s="583">
        <f>'Ekonomiskā analīze'!H$21+'Ekonomiskā analīze'!H$19*'Jutīguma analīze_EA'!$B73</f>
        <v>115383.08945353526</v>
      </c>
      <c r="J73" s="583">
        <f>'Ekonomiskā analīze'!I$21+'Ekonomiskā analīze'!I$19*'Jutīguma analīze_EA'!$B73</f>
        <v>151008.17611288338</v>
      </c>
      <c r="K73" s="583">
        <f>'Ekonomiskā analīze'!J$21+'Ekonomiskā analīze'!J$19*'Jutīguma analīze_EA'!$B73</f>
        <v>157468.10528950224</v>
      </c>
      <c r="L73" s="583">
        <f>'Ekonomiskā analīze'!K$21+'Ekonomiskā analīze'!K$19*'Jutīguma analīze_EA'!$B73</f>
        <v>160111.08701357909</v>
      </c>
      <c r="M73" s="583">
        <f>'Ekonomiskā analīze'!L$21+'Ekonomiskā analīze'!L$19*'Jutīguma analīze_EA'!$B73</f>
        <v>160106.49867238884</v>
      </c>
      <c r="N73" s="583">
        <f>'Ekonomiskā analīze'!M$21+'Ekonomiskā analīze'!M$19*'Jutīguma analīze_EA'!$B73</f>
        <v>160438.41126301422</v>
      </c>
      <c r="O73" s="583">
        <f>'Ekonomiskā analīze'!N$21+'Ekonomiskā analīze'!N$19*'Jutīguma analīze_EA'!$B73</f>
        <v>160256.27707815624</v>
      </c>
      <c r="P73" s="583">
        <f>'Ekonomiskā analīze'!O$21+'Ekonomiskā analīze'!O$19*'Jutīguma analīze_EA'!$B73</f>
        <v>158647.86053478922</v>
      </c>
      <c r="Q73" s="583">
        <f>'Ekonomiskā analīze'!P$21+'Ekonomiskā analīze'!P$19*'Jutīguma analīze_EA'!$B73</f>
        <v>162081.70312272158</v>
      </c>
      <c r="R73" s="583">
        <f>'Ekonomiskā analīze'!Q$21+'Ekonomiskā analīze'!Q$19*'Jutīguma analīze_EA'!$B73</f>
        <v>168186.85028481504</v>
      </c>
      <c r="S73" s="583">
        <f>'Ekonomiskā analīze'!R$21+'Ekonomiskā analīze'!R$19*'Jutīguma analīze_EA'!$B73</f>
        <v>195944.19245743658</v>
      </c>
      <c r="T73" s="583">
        <f>'Ekonomiskā analīze'!S$21+'Ekonomiskā analīze'!S$19*'Jutīguma analīze_EA'!$B73</f>
        <v>204486.83618630408</v>
      </c>
      <c r="U73" s="583">
        <f>'Ekonomiskā analīze'!T$21+'Ekonomiskā analīze'!T$19*'Jutīguma analīze_EA'!$B73</f>
        <v>203713.24822494044</v>
      </c>
      <c r="V73" s="583">
        <f>'Ekonomiskā analīze'!U$21+'Ekonomiskā analīze'!U$19*'Jutīguma analīze_EA'!$B73</f>
        <v>207940.23844087351</v>
      </c>
      <c r="W73" s="583">
        <f>'Ekonomiskā analīze'!V$21+'Ekonomiskā analīze'!V$19*'Jutīguma analīze_EA'!$B73</f>
        <v>219199.97554099854</v>
      </c>
      <c r="X73" s="583">
        <f>'Ekonomiskā analīze'!W$21+'Ekonomiskā analīze'!W$19*'Jutīguma analīze_EA'!$B73</f>
        <v>223390.46482511546</v>
      </c>
      <c r="Y73" s="583">
        <f>'Ekonomiskā analīze'!X$21+'Ekonomiskā analīze'!X$19*'Jutīguma analīze_EA'!$B73</f>
        <v>230343.85028449923</v>
      </c>
      <c r="Z73" s="583">
        <f>'Ekonomiskā analīze'!Y$21+'Ekonomiskā analīze'!Y$19*'Jutīguma analīze_EA'!$B73</f>
        <v>234534.33956861665</v>
      </c>
      <c r="AA73" s="583">
        <f>'Ekonomiskā analīze'!Z$21+'Ekonomiskā analīze'!Z$19*'Jutīguma analīze_EA'!$B73</f>
        <v>238366.0536800042</v>
      </c>
      <c r="AB73" s="583">
        <f>'Ekonomiskā analīze'!AA$21+'Ekonomiskā analīze'!AA$19*'Jutīguma analīze_EA'!$B73</f>
        <v>242903.39533612039</v>
      </c>
      <c r="AC73" s="583">
        <f>'Ekonomiskā analīze'!AB$21+'Ekonomiskā analīze'!AB$19*'Jutīguma analīze_EA'!$B73</f>
        <v>244781.24412623982</v>
      </c>
      <c r="AD73" s="583">
        <f>'Ekonomiskā analīze'!AC$21+'Ekonomiskā analīze'!AC$19*'Jutīguma analīze_EA'!$B73</f>
        <v>215038.93850959436</v>
      </c>
      <c r="AE73" s="583">
        <f>'Ekonomiskā analīze'!AD$21+'Ekonomiskā analīze'!AD$19*'Jutīguma analīze_EA'!$B73</f>
        <v>150050.43350703316</v>
      </c>
      <c r="AF73" s="583">
        <f>'Ekonomiskā analīze'!AE$21+'Ekonomiskā analīze'!AE$19*'Jutīguma analīze_EA'!$B73</f>
        <v>151131.73228988034</v>
      </c>
      <c r="AG73" s="583">
        <f>'Ekonomiskā analīze'!AF$21+'Ekonomiskā analīze'!AF$19*'Jutīguma analīze_EA'!$B73</f>
        <v>144678.17556234263</v>
      </c>
      <c r="AH73" s="583">
        <f>'Ekonomiskā analīze'!AG$21+'Ekonomiskā analīze'!AG$19*'Jutīguma analīze_EA'!$B73</f>
        <v>696203.69612649537</v>
      </c>
      <c r="AI73" s="583">
        <f>'Ekonomiskā analīze'!AH$21+'Ekonomiskā analīze'!AH$19*'Jutīguma analīze_EA'!$B73</f>
        <v>150451.21669064806</v>
      </c>
    </row>
    <row r="74" spans="1:35" ht="12.75" x14ac:dyDescent="0.2">
      <c r="A74" s="794"/>
      <c r="B74" s="115">
        <v>-0.01</v>
      </c>
      <c r="C74" s="515">
        <f>'Ekonomiskā analīze'!B$21+'Ekonomiskā analīze'!B$19*'Jutīguma analīze_EA'!$B74</f>
        <v>-597731.93799999997</v>
      </c>
      <c r="D74" s="515">
        <f>'Ekonomiskā analīze'!C$21+'Ekonomiskā analīze'!C$19*'Jutīguma analīze_EA'!$B74</f>
        <v>-333103.67469999997</v>
      </c>
      <c r="E74" s="515">
        <f>'Ekonomiskā analīze'!D$21+'Ekonomiskā analīze'!D$19*'Jutīguma analīze_EA'!$B74</f>
        <v>-507979.65</v>
      </c>
      <c r="F74" s="515">
        <f>'Ekonomiskā analīze'!E$21+'Ekonomiskā analīze'!E$19*'Jutīguma analīze_EA'!$B74</f>
        <v>29716.867801467524</v>
      </c>
      <c r="G74" s="515">
        <f>'Ekonomiskā analīze'!F$21+'Ekonomiskā analīze'!F$19*'Jutīguma analīze_EA'!$B74</f>
        <v>49723.562160130445</v>
      </c>
      <c r="H74" s="515">
        <f>'Ekonomiskā analīze'!G$21+'Ekonomiskā analīze'!G$19*'Jutīguma analīze_EA'!$B74</f>
        <v>84726.736030593005</v>
      </c>
      <c r="I74" s="515">
        <f>'Ekonomiskā analīze'!H$21+'Ekonomiskā analīze'!H$19*'Jutīguma analīze_EA'!$B74</f>
        <v>115383.08945353526</v>
      </c>
      <c r="J74" s="515">
        <f>'Ekonomiskā analīze'!I$21+'Ekonomiskā analīze'!I$19*'Jutīguma analīze_EA'!$B74</f>
        <v>151008.17611288338</v>
      </c>
      <c r="K74" s="515">
        <f>'Ekonomiskā analīze'!J$21+'Ekonomiskā analīze'!J$19*'Jutīguma analīze_EA'!$B74</f>
        <v>157468.10528950224</v>
      </c>
      <c r="L74" s="515">
        <f>'Ekonomiskā analīze'!K$21+'Ekonomiskā analīze'!K$19*'Jutīguma analīze_EA'!$B74</f>
        <v>160111.08701357909</v>
      </c>
      <c r="M74" s="515">
        <f>'Ekonomiskā analīze'!L$21+'Ekonomiskā analīze'!L$19*'Jutīguma analīze_EA'!$B74</f>
        <v>160106.49867238884</v>
      </c>
      <c r="N74" s="515">
        <f>'Ekonomiskā analīze'!M$21+'Ekonomiskā analīze'!M$19*'Jutīguma analīze_EA'!$B74</f>
        <v>160438.41126301422</v>
      </c>
      <c r="O74" s="515">
        <f>'Ekonomiskā analīze'!N$21+'Ekonomiskā analīze'!N$19*'Jutīguma analīze_EA'!$B74</f>
        <v>160256.27707815624</v>
      </c>
      <c r="P74" s="515">
        <f>'Ekonomiskā analīze'!O$21+'Ekonomiskā analīze'!O$19*'Jutīguma analīze_EA'!$B74</f>
        <v>158647.86053478922</v>
      </c>
      <c r="Q74" s="515">
        <f>'Ekonomiskā analīze'!P$21+'Ekonomiskā analīze'!P$19*'Jutīguma analīze_EA'!$B74</f>
        <v>162081.70312272158</v>
      </c>
      <c r="R74" s="515">
        <f>'Ekonomiskā analīze'!Q$21+'Ekonomiskā analīze'!Q$19*'Jutīguma analīze_EA'!$B74</f>
        <v>168186.85028481504</v>
      </c>
      <c r="S74" s="515">
        <f>'Ekonomiskā analīze'!R$21+'Ekonomiskā analīze'!R$19*'Jutīguma analīze_EA'!$B74</f>
        <v>195944.19245743658</v>
      </c>
      <c r="T74" s="515">
        <f>'Ekonomiskā analīze'!S$21+'Ekonomiskā analīze'!S$19*'Jutīguma analīze_EA'!$B74</f>
        <v>204486.83618630408</v>
      </c>
      <c r="U74" s="515">
        <f>'Ekonomiskā analīze'!T$21+'Ekonomiskā analīze'!T$19*'Jutīguma analīze_EA'!$B74</f>
        <v>203713.24822494044</v>
      </c>
      <c r="V74" s="515">
        <f>'Ekonomiskā analīze'!U$21+'Ekonomiskā analīze'!U$19*'Jutīguma analīze_EA'!$B74</f>
        <v>207940.23844087351</v>
      </c>
      <c r="W74" s="515">
        <f>'Ekonomiskā analīze'!V$21+'Ekonomiskā analīze'!V$19*'Jutīguma analīze_EA'!$B74</f>
        <v>219199.97554099854</v>
      </c>
      <c r="X74" s="515">
        <f>'Ekonomiskā analīze'!W$21+'Ekonomiskā analīze'!W$19*'Jutīguma analīze_EA'!$B74</f>
        <v>223390.46482511546</v>
      </c>
      <c r="Y74" s="515">
        <f>'Ekonomiskā analīze'!X$21+'Ekonomiskā analīze'!X$19*'Jutīguma analīze_EA'!$B74</f>
        <v>230343.85028449923</v>
      </c>
      <c r="Z74" s="515">
        <f>'Ekonomiskā analīze'!Y$21+'Ekonomiskā analīze'!Y$19*'Jutīguma analīze_EA'!$B74</f>
        <v>234534.33956861665</v>
      </c>
      <c r="AA74" s="515">
        <f>'Ekonomiskā analīze'!Z$21+'Ekonomiskā analīze'!Z$19*'Jutīguma analīze_EA'!$B74</f>
        <v>238366.0536800042</v>
      </c>
      <c r="AB74" s="515">
        <f>'Ekonomiskā analīze'!AA$21+'Ekonomiskā analīze'!AA$19*'Jutīguma analīze_EA'!$B74</f>
        <v>242903.39533612039</v>
      </c>
      <c r="AC74" s="515">
        <f>'Ekonomiskā analīze'!AB$21+'Ekonomiskā analīze'!AB$19*'Jutīguma analīze_EA'!$B74</f>
        <v>244781.24412623982</v>
      </c>
      <c r="AD74" s="515">
        <f>'Ekonomiskā analīze'!AC$21+'Ekonomiskā analīze'!AC$19*'Jutīguma analīze_EA'!$B74</f>
        <v>215038.93850959436</v>
      </c>
      <c r="AE74" s="515">
        <f>'Ekonomiskā analīze'!AD$21+'Ekonomiskā analīze'!AD$19*'Jutīguma analīze_EA'!$B74</f>
        <v>150050.43350703316</v>
      </c>
      <c r="AF74" s="515">
        <f>'Ekonomiskā analīze'!AE$21+'Ekonomiskā analīze'!AE$19*'Jutīguma analīze_EA'!$B74</f>
        <v>151131.73228988034</v>
      </c>
      <c r="AG74" s="515">
        <f>'Ekonomiskā analīze'!AF$21+'Ekonomiskā analīze'!AF$19*'Jutīguma analīze_EA'!$B74</f>
        <v>144678.17556234263</v>
      </c>
      <c r="AH74" s="515">
        <f>'Ekonomiskā analīze'!AG$21+'Ekonomiskā analīze'!AG$19*'Jutīguma analīze_EA'!$B74</f>
        <v>696203.69612649537</v>
      </c>
      <c r="AI74" s="515">
        <f>'Ekonomiskā analīze'!AH$21+'Ekonomiskā analīze'!AH$19*'Jutīguma analīze_EA'!$B74</f>
        <v>150451.21669064806</v>
      </c>
    </row>
    <row r="75" spans="1:35" ht="12.75" x14ac:dyDescent="0.2">
      <c r="A75" s="794"/>
      <c r="B75" s="115">
        <v>-2.5000000000000001E-2</v>
      </c>
      <c r="C75" s="515">
        <f>'Ekonomiskā analīze'!B$21+'Ekonomiskā analīze'!B$19*'Jutīguma analīze_EA'!$B75</f>
        <v>-606609.1449999999</v>
      </c>
      <c r="D75" s="515">
        <f>'Ekonomiskā analīze'!C$21+'Ekonomiskā analīze'!C$19*'Jutīguma analīze_EA'!$B75</f>
        <v>-338358.48174999998</v>
      </c>
      <c r="E75" s="515">
        <f>'Ekonomiskā analīze'!D$21+'Ekonomiskā analīze'!D$19*'Jutīguma analīze_EA'!$B75</f>
        <v>-515831.625</v>
      </c>
      <c r="F75" s="515">
        <f>'Ekonomiskā analīze'!E$21+'Ekonomiskā analīze'!E$19*'Jutīguma analīze_EA'!$B75</f>
        <v>29716.867801467524</v>
      </c>
      <c r="G75" s="515">
        <f>'Ekonomiskā analīze'!F$21+'Ekonomiskā analīze'!F$19*'Jutīguma analīze_EA'!$B75</f>
        <v>49723.562160130445</v>
      </c>
      <c r="H75" s="515">
        <f>'Ekonomiskā analīze'!G$21+'Ekonomiskā analīze'!G$19*'Jutīguma analīze_EA'!$B75</f>
        <v>84726.736030593005</v>
      </c>
      <c r="I75" s="515">
        <f>'Ekonomiskā analīze'!H$21+'Ekonomiskā analīze'!H$19*'Jutīguma analīze_EA'!$B75</f>
        <v>115383.08945353526</v>
      </c>
      <c r="J75" s="515">
        <f>'Ekonomiskā analīze'!I$21+'Ekonomiskā analīze'!I$19*'Jutīguma analīze_EA'!$B75</f>
        <v>151008.17611288338</v>
      </c>
      <c r="K75" s="515">
        <f>'Ekonomiskā analīze'!J$21+'Ekonomiskā analīze'!J$19*'Jutīguma analīze_EA'!$B75</f>
        <v>157468.10528950224</v>
      </c>
      <c r="L75" s="515">
        <f>'Ekonomiskā analīze'!K$21+'Ekonomiskā analīze'!K$19*'Jutīguma analīze_EA'!$B75</f>
        <v>160111.08701357909</v>
      </c>
      <c r="M75" s="515">
        <f>'Ekonomiskā analīze'!L$21+'Ekonomiskā analīze'!L$19*'Jutīguma analīze_EA'!$B75</f>
        <v>160106.49867238884</v>
      </c>
      <c r="N75" s="515">
        <f>'Ekonomiskā analīze'!M$21+'Ekonomiskā analīze'!M$19*'Jutīguma analīze_EA'!$B75</f>
        <v>160438.41126301422</v>
      </c>
      <c r="O75" s="515">
        <f>'Ekonomiskā analīze'!N$21+'Ekonomiskā analīze'!N$19*'Jutīguma analīze_EA'!$B75</f>
        <v>160256.27707815624</v>
      </c>
      <c r="P75" s="515">
        <f>'Ekonomiskā analīze'!O$21+'Ekonomiskā analīze'!O$19*'Jutīguma analīze_EA'!$B75</f>
        <v>158647.86053478922</v>
      </c>
      <c r="Q75" s="515">
        <f>'Ekonomiskā analīze'!P$21+'Ekonomiskā analīze'!P$19*'Jutīguma analīze_EA'!$B75</f>
        <v>162081.70312272158</v>
      </c>
      <c r="R75" s="515">
        <f>'Ekonomiskā analīze'!Q$21+'Ekonomiskā analīze'!Q$19*'Jutīguma analīze_EA'!$B75</f>
        <v>168186.85028481504</v>
      </c>
      <c r="S75" s="515">
        <f>'Ekonomiskā analīze'!R$21+'Ekonomiskā analīze'!R$19*'Jutīguma analīze_EA'!$B75</f>
        <v>195944.19245743658</v>
      </c>
      <c r="T75" s="515">
        <f>'Ekonomiskā analīze'!S$21+'Ekonomiskā analīze'!S$19*'Jutīguma analīze_EA'!$B75</f>
        <v>204486.83618630408</v>
      </c>
      <c r="U75" s="515">
        <f>'Ekonomiskā analīze'!T$21+'Ekonomiskā analīze'!T$19*'Jutīguma analīze_EA'!$B75</f>
        <v>203713.24822494044</v>
      </c>
      <c r="V75" s="515">
        <f>'Ekonomiskā analīze'!U$21+'Ekonomiskā analīze'!U$19*'Jutīguma analīze_EA'!$B75</f>
        <v>207940.23844087351</v>
      </c>
      <c r="W75" s="515">
        <f>'Ekonomiskā analīze'!V$21+'Ekonomiskā analīze'!V$19*'Jutīguma analīze_EA'!$B75</f>
        <v>219199.97554099854</v>
      </c>
      <c r="X75" s="515">
        <f>'Ekonomiskā analīze'!W$21+'Ekonomiskā analīze'!W$19*'Jutīguma analīze_EA'!$B75</f>
        <v>223390.46482511546</v>
      </c>
      <c r="Y75" s="515">
        <f>'Ekonomiskā analīze'!X$21+'Ekonomiskā analīze'!X$19*'Jutīguma analīze_EA'!$B75</f>
        <v>230343.85028449923</v>
      </c>
      <c r="Z75" s="515">
        <f>'Ekonomiskā analīze'!Y$21+'Ekonomiskā analīze'!Y$19*'Jutīguma analīze_EA'!$B75</f>
        <v>234534.33956861665</v>
      </c>
      <c r="AA75" s="515">
        <f>'Ekonomiskā analīze'!Z$21+'Ekonomiskā analīze'!Z$19*'Jutīguma analīze_EA'!$B75</f>
        <v>238366.0536800042</v>
      </c>
      <c r="AB75" s="515">
        <f>'Ekonomiskā analīze'!AA$21+'Ekonomiskā analīze'!AA$19*'Jutīguma analīze_EA'!$B75</f>
        <v>242903.39533612039</v>
      </c>
      <c r="AC75" s="515">
        <f>'Ekonomiskā analīze'!AB$21+'Ekonomiskā analīze'!AB$19*'Jutīguma analīze_EA'!$B75</f>
        <v>244781.24412623982</v>
      </c>
      <c r="AD75" s="515">
        <f>'Ekonomiskā analīze'!AC$21+'Ekonomiskā analīze'!AC$19*'Jutīguma analīze_EA'!$B75</f>
        <v>215038.93850959436</v>
      </c>
      <c r="AE75" s="515">
        <f>'Ekonomiskā analīze'!AD$21+'Ekonomiskā analīze'!AD$19*'Jutīguma analīze_EA'!$B75</f>
        <v>150050.43350703316</v>
      </c>
      <c r="AF75" s="515">
        <f>'Ekonomiskā analīze'!AE$21+'Ekonomiskā analīze'!AE$19*'Jutīguma analīze_EA'!$B75</f>
        <v>151131.73228988034</v>
      </c>
      <c r="AG75" s="515">
        <f>'Ekonomiskā analīze'!AF$21+'Ekonomiskā analīze'!AF$19*'Jutīguma analīze_EA'!$B75</f>
        <v>144678.17556234263</v>
      </c>
      <c r="AH75" s="515">
        <f>'Ekonomiskā analīze'!AG$21+'Ekonomiskā analīze'!AG$19*'Jutīguma analīze_EA'!$B75</f>
        <v>696203.69612649537</v>
      </c>
      <c r="AI75" s="515">
        <f>'Ekonomiskā analīze'!AH$21+'Ekonomiskā analīze'!AH$19*'Jutīguma analīze_EA'!$B75</f>
        <v>150451.21669064806</v>
      </c>
    </row>
    <row r="76" spans="1:35" ht="12.75" x14ac:dyDescent="0.2">
      <c r="A76" s="794"/>
      <c r="B76" s="115">
        <v>-0.05</v>
      </c>
      <c r="C76" s="515">
        <f>'Ekonomiskā analīze'!B$21+'Ekonomiskā analīze'!B$19*'Jutīguma analīze_EA'!$B76</f>
        <v>-621404.48999999987</v>
      </c>
      <c r="D76" s="515">
        <f>'Ekonomiskā analīze'!C$21+'Ekonomiskā analīze'!C$19*'Jutīguma analīze_EA'!$B76</f>
        <v>-347116.49349999998</v>
      </c>
      <c r="E76" s="515">
        <f>'Ekonomiskā analīze'!D$21+'Ekonomiskā analīze'!D$19*'Jutīguma analīze_EA'!$B76</f>
        <v>-528918.25</v>
      </c>
      <c r="F76" s="515">
        <f>'Ekonomiskā analīze'!E$21+'Ekonomiskā analīze'!E$19*'Jutīguma analīze_EA'!$B76</f>
        <v>29716.867801467524</v>
      </c>
      <c r="G76" s="515">
        <f>'Ekonomiskā analīze'!F$21+'Ekonomiskā analīze'!F$19*'Jutīguma analīze_EA'!$B76</f>
        <v>49723.562160130445</v>
      </c>
      <c r="H76" s="515">
        <f>'Ekonomiskā analīze'!G$21+'Ekonomiskā analīze'!G$19*'Jutīguma analīze_EA'!$B76</f>
        <v>84726.736030593005</v>
      </c>
      <c r="I76" s="515">
        <f>'Ekonomiskā analīze'!H$21+'Ekonomiskā analīze'!H$19*'Jutīguma analīze_EA'!$B76</f>
        <v>115383.08945353526</v>
      </c>
      <c r="J76" s="515">
        <f>'Ekonomiskā analīze'!I$21+'Ekonomiskā analīze'!I$19*'Jutīguma analīze_EA'!$B76</f>
        <v>151008.17611288338</v>
      </c>
      <c r="K76" s="515">
        <f>'Ekonomiskā analīze'!J$21+'Ekonomiskā analīze'!J$19*'Jutīguma analīze_EA'!$B76</f>
        <v>157468.10528950224</v>
      </c>
      <c r="L76" s="515">
        <f>'Ekonomiskā analīze'!K$21+'Ekonomiskā analīze'!K$19*'Jutīguma analīze_EA'!$B76</f>
        <v>160111.08701357909</v>
      </c>
      <c r="M76" s="515">
        <f>'Ekonomiskā analīze'!L$21+'Ekonomiskā analīze'!L$19*'Jutīguma analīze_EA'!$B76</f>
        <v>160106.49867238884</v>
      </c>
      <c r="N76" s="515">
        <f>'Ekonomiskā analīze'!M$21+'Ekonomiskā analīze'!M$19*'Jutīguma analīze_EA'!$B76</f>
        <v>160438.41126301422</v>
      </c>
      <c r="O76" s="515">
        <f>'Ekonomiskā analīze'!N$21+'Ekonomiskā analīze'!N$19*'Jutīguma analīze_EA'!$B76</f>
        <v>160256.27707815624</v>
      </c>
      <c r="P76" s="515">
        <f>'Ekonomiskā analīze'!O$21+'Ekonomiskā analīze'!O$19*'Jutīguma analīze_EA'!$B76</f>
        <v>158647.86053478922</v>
      </c>
      <c r="Q76" s="515">
        <f>'Ekonomiskā analīze'!P$21+'Ekonomiskā analīze'!P$19*'Jutīguma analīze_EA'!$B76</f>
        <v>162081.70312272158</v>
      </c>
      <c r="R76" s="515">
        <f>'Ekonomiskā analīze'!Q$21+'Ekonomiskā analīze'!Q$19*'Jutīguma analīze_EA'!$B76</f>
        <v>168186.85028481504</v>
      </c>
      <c r="S76" s="515">
        <f>'Ekonomiskā analīze'!R$21+'Ekonomiskā analīze'!R$19*'Jutīguma analīze_EA'!$B76</f>
        <v>195944.19245743658</v>
      </c>
      <c r="T76" s="515">
        <f>'Ekonomiskā analīze'!S$21+'Ekonomiskā analīze'!S$19*'Jutīguma analīze_EA'!$B76</f>
        <v>204486.83618630408</v>
      </c>
      <c r="U76" s="515">
        <f>'Ekonomiskā analīze'!T$21+'Ekonomiskā analīze'!T$19*'Jutīguma analīze_EA'!$B76</f>
        <v>203713.24822494044</v>
      </c>
      <c r="V76" s="515">
        <f>'Ekonomiskā analīze'!U$21+'Ekonomiskā analīze'!U$19*'Jutīguma analīze_EA'!$B76</f>
        <v>207940.23844087351</v>
      </c>
      <c r="W76" s="515">
        <f>'Ekonomiskā analīze'!V$21+'Ekonomiskā analīze'!V$19*'Jutīguma analīze_EA'!$B76</f>
        <v>219199.97554099854</v>
      </c>
      <c r="X76" s="515">
        <f>'Ekonomiskā analīze'!W$21+'Ekonomiskā analīze'!W$19*'Jutīguma analīze_EA'!$B76</f>
        <v>223390.46482511546</v>
      </c>
      <c r="Y76" s="515">
        <f>'Ekonomiskā analīze'!X$21+'Ekonomiskā analīze'!X$19*'Jutīguma analīze_EA'!$B76</f>
        <v>230343.85028449923</v>
      </c>
      <c r="Z76" s="515">
        <f>'Ekonomiskā analīze'!Y$21+'Ekonomiskā analīze'!Y$19*'Jutīguma analīze_EA'!$B76</f>
        <v>234534.33956861665</v>
      </c>
      <c r="AA76" s="515">
        <f>'Ekonomiskā analīze'!Z$21+'Ekonomiskā analīze'!Z$19*'Jutīguma analīze_EA'!$B76</f>
        <v>238366.0536800042</v>
      </c>
      <c r="AB76" s="515">
        <f>'Ekonomiskā analīze'!AA$21+'Ekonomiskā analīze'!AA$19*'Jutīguma analīze_EA'!$B76</f>
        <v>242903.39533612039</v>
      </c>
      <c r="AC76" s="515">
        <f>'Ekonomiskā analīze'!AB$21+'Ekonomiskā analīze'!AB$19*'Jutīguma analīze_EA'!$B76</f>
        <v>244781.24412623982</v>
      </c>
      <c r="AD76" s="515">
        <f>'Ekonomiskā analīze'!AC$21+'Ekonomiskā analīze'!AC$19*'Jutīguma analīze_EA'!$B76</f>
        <v>215038.93850959436</v>
      </c>
      <c r="AE76" s="515">
        <f>'Ekonomiskā analīze'!AD$21+'Ekonomiskā analīze'!AD$19*'Jutīguma analīze_EA'!$B76</f>
        <v>150050.43350703316</v>
      </c>
      <c r="AF76" s="515">
        <f>'Ekonomiskā analīze'!AE$21+'Ekonomiskā analīze'!AE$19*'Jutīguma analīze_EA'!$B76</f>
        <v>151131.73228988034</v>
      </c>
      <c r="AG76" s="515">
        <f>'Ekonomiskā analīze'!AF$21+'Ekonomiskā analīze'!AF$19*'Jutīguma analīze_EA'!$B76</f>
        <v>144678.17556234263</v>
      </c>
      <c r="AH76" s="515">
        <f>'Ekonomiskā analīze'!AG$21+'Ekonomiskā analīze'!AG$19*'Jutīguma analīze_EA'!$B76</f>
        <v>696203.69612649537</v>
      </c>
      <c r="AI76" s="515">
        <f>'Ekonomiskā analīze'!AH$21+'Ekonomiskā analīze'!AH$19*'Jutīguma analīze_EA'!$B76</f>
        <v>150451.21669064806</v>
      </c>
    </row>
    <row r="77" spans="1:35" ht="12.75" x14ac:dyDescent="0.2">
      <c r="A77" s="794"/>
      <c r="B77" s="115">
        <v>-7.4999999999999997E-2</v>
      </c>
      <c r="C77" s="515">
        <f>'Ekonomiskā analīze'!B$21+'Ekonomiskā analīze'!B$19*'Jutīguma analīze_EA'!$B77</f>
        <v>-636199.83499999996</v>
      </c>
      <c r="D77" s="515">
        <f>'Ekonomiskā analīze'!C$21+'Ekonomiskā analīze'!C$19*'Jutīguma analīze_EA'!$B77</f>
        <v>-355874.50524999999</v>
      </c>
      <c r="E77" s="515">
        <f>'Ekonomiskā analīze'!D$21+'Ekonomiskā analīze'!D$19*'Jutīguma analīze_EA'!$B77</f>
        <v>-542004.875</v>
      </c>
      <c r="F77" s="515">
        <f>'Ekonomiskā analīze'!E$21+'Ekonomiskā analīze'!E$19*'Jutīguma analīze_EA'!$B77</f>
        <v>29716.867801467524</v>
      </c>
      <c r="G77" s="515">
        <f>'Ekonomiskā analīze'!F$21+'Ekonomiskā analīze'!F$19*'Jutīguma analīze_EA'!$B77</f>
        <v>49723.562160130445</v>
      </c>
      <c r="H77" s="515">
        <f>'Ekonomiskā analīze'!G$21+'Ekonomiskā analīze'!G$19*'Jutīguma analīze_EA'!$B77</f>
        <v>84726.736030593005</v>
      </c>
      <c r="I77" s="515">
        <f>'Ekonomiskā analīze'!H$21+'Ekonomiskā analīze'!H$19*'Jutīguma analīze_EA'!$B77</f>
        <v>115383.08945353526</v>
      </c>
      <c r="J77" s="515">
        <f>'Ekonomiskā analīze'!I$21+'Ekonomiskā analīze'!I$19*'Jutīguma analīze_EA'!$B77</f>
        <v>151008.17611288338</v>
      </c>
      <c r="K77" s="515">
        <f>'Ekonomiskā analīze'!J$21+'Ekonomiskā analīze'!J$19*'Jutīguma analīze_EA'!$B77</f>
        <v>157468.10528950224</v>
      </c>
      <c r="L77" s="515">
        <f>'Ekonomiskā analīze'!K$21+'Ekonomiskā analīze'!K$19*'Jutīguma analīze_EA'!$B77</f>
        <v>160111.08701357909</v>
      </c>
      <c r="M77" s="515">
        <f>'Ekonomiskā analīze'!L$21+'Ekonomiskā analīze'!L$19*'Jutīguma analīze_EA'!$B77</f>
        <v>160106.49867238884</v>
      </c>
      <c r="N77" s="515">
        <f>'Ekonomiskā analīze'!M$21+'Ekonomiskā analīze'!M$19*'Jutīguma analīze_EA'!$B77</f>
        <v>160438.41126301422</v>
      </c>
      <c r="O77" s="515">
        <f>'Ekonomiskā analīze'!N$21+'Ekonomiskā analīze'!N$19*'Jutīguma analīze_EA'!$B77</f>
        <v>160256.27707815624</v>
      </c>
      <c r="P77" s="515">
        <f>'Ekonomiskā analīze'!O$21+'Ekonomiskā analīze'!O$19*'Jutīguma analīze_EA'!$B77</f>
        <v>158647.86053478922</v>
      </c>
      <c r="Q77" s="515">
        <f>'Ekonomiskā analīze'!P$21+'Ekonomiskā analīze'!P$19*'Jutīguma analīze_EA'!$B77</f>
        <v>162081.70312272158</v>
      </c>
      <c r="R77" s="515">
        <f>'Ekonomiskā analīze'!Q$21+'Ekonomiskā analīze'!Q$19*'Jutīguma analīze_EA'!$B77</f>
        <v>168186.85028481504</v>
      </c>
      <c r="S77" s="515">
        <f>'Ekonomiskā analīze'!R$21+'Ekonomiskā analīze'!R$19*'Jutīguma analīze_EA'!$B77</f>
        <v>195944.19245743658</v>
      </c>
      <c r="T77" s="515">
        <f>'Ekonomiskā analīze'!S$21+'Ekonomiskā analīze'!S$19*'Jutīguma analīze_EA'!$B77</f>
        <v>204486.83618630408</v>
      </c>
      <c r="U77" s="515">
        <f>'Ekonomiskā analīze'!T$21+'Ekonomiskā analīze'!T$19*'Jutīguma analīze_EA'!$B77</f>
        <v>203713.24822494044</v>
      </c>
      <c r="V77" s="515">
        <f>'Ekonomiskā analīze'!U$21+'Ekonomiskā analīze'!U$19*'Jutīguma analīze_EA'!$B77</f>
        <v>207940.23844087351</v>
      </c>
      <c r="W77" s="515">
        <f>'Ekonomiskā analīze'!V$21+'Ekonomiskā analīze'!V$19*'Jutīguma analīze_EA'!$B77</f>
        <v>219199.97554099854</v>
      </c>
      <c r="X77" s="515">
        <f>'Ekonomiskā analīze'!W$21+'Ekonomiskā analīze'!W$19*'Jutīguma analīze_EA'!$B77</f>
        <v>223390.46482511546</v>
      </c>
      <c r="Y77" s="515">
        <f>'Ekonomiskā analīze'!X$21+'Ekonomiskā analīze'!X$19*'Jutīguma analīze_EA'!$B77</f>
        <v>230343.85028449923</v>
      </c>
      <c r="Z77" s="515">
        <f>'Ekonomiskā analīze'!Y$21+'Ekonomiskā analīze'!Y$19*'Jutīguma analīze_EA'!$B77</f>
        <v>234534.33956861665</v>
      </c>
      <c r="AA77" s="515">
        <f>'Ekonomiskā analīze'!Z$21+'Ekonomiskā analīze'!Z$19*'Jutīguma analīze_EA'!$B77</f>
        <v>238366.0536800042</v>
      </c>
      <c r="AB77" s="515">
        <f>'Ekonomiskā analīze'!AA$21+'Ekonomiskā analīze'!AA$19*'Jutīguma analīze_EA'!$B77</f>
        <v>242903.39533612039</v>
      </c>
      <c r="AC77" s="515">
        <f>'Ekonomiskā analīze'!AB$21+'Ekonomiskā analīze'!AB$19*'Jutīguma analīze_EA'!$B77</f>
        <v>244781.24412623982</v>
      </c>
      <c r="AD77" s="515">
        <f>'Ekonomiskā analīze'!AC$21+'Ekonomiskā analīze'!AC$19*'Jutīguma analīze_EA'!$B77</f>
        <v>215038.93850959436</v>
      </c>
      <c r="AE77" s="515">
        <f>'Ekonomiskā analīze'!AD$21+'Ekonomiskā analīze'!AD$19*'Jutīguma analīze_EA'!$B77</f>
        <v>150050.43350703316</v>
      </c>
      <c r="AF77" s="515">
        <f>'Ekonomiskā analīze'!AE$21+'Ekonomiskā analīze'!AE$19*'Jutīguma analīze_EA'!$B77</f>
        <v>151131.73228988034</v>
      </c>
      <c r="AG77" s="515">
        <f>'Ekonomiskā analīze'!AF$21+'Ekonomiskā analīze'!AF$19*'Jutīguma analīze_EA'!$B77</f>
        <v>144678.17556234263</v>
      </c>
      <c r="AH77" s="515">
        <f>'Ekonomiskā analīze'!AG$21+'Ekonomiskā analīze'!AG$19*'Jutīguma analīze_EA'!$B77</f>
        <v>696203.69612649537</v>
      </c>
      <c r="AI77" s="515">
        <f>'Ekonomiskā analīze'!AH$21+'Ekonomiskā analīze'!AH$19*'Jutīguma analīze_EA'!$B77</f>
        <v>150451.21669064806</v>
      </c>
    </row>
    <row r="78" spans="1:35" ht="12.75" x14ac:dyDescent="0.2">
      <c r="A78" s="795"/>
      <c r="B78" s="115">
        <v>-0.1</v>
      </c>
      <c r="C78" s="515">
        <f>'Ekonomiskā analīze'!B$21+'Ekonomiskā analīze'!B$19*'Jutīguma analīze_EA'!$B78</f>
        <v>-650995.17999999993</v>
      </c>
      <c r="D78" s="515">
        <f>'Ekonomiskā analīze'!C$21+'Ekonomiskā analīze'!C$19*'Jutīguma analīze_EA'!$B78</f>
        <v>-364632.51699999999</v>
      </c>
      <c r="E78" s="515">
        <f>'Ekonomiskā analīze'!D$21+'Ekonomiskā analīze'!D$19*'Jutīguma analīze_EA'!$B78</f>
        <v>-555091.5</v>
      </c>
      <c r="F78" s="515">
        <f>'Ekonomiskā analīze'!E$21+'Ekonomiskā analīze'!E$19*'Jutīguma analīze_EA'!$B78</f>
        <v>29716.867801467524</v>
      </c>
      <c r="G78" s="515">
        <f>'Ekonomiskā analīze'!F$21+'Ekonomiskā analīze'!F$19*'Jutīguma analīze_EA'!$B78</f>
        <v>49723.562160130445</v>
      </c>
      <c r="H78" s="515">
        <f>'Ekonomiskā analīze'!G$21+'Ekonomiskā analīze'!G$19*'Jutīguma analīze_EA'!$B78</f>
        <v>84726.736030593005</v>
      </c>
      <c r="I78" s="515">
        <f>'Ekonomiskā analīze'!H$21+'Ekonomiskā analīze'!H$19*'Jutīguma analīze_EA'!$B78</f>
        <v>115383.08945353526</v>
      </c>
      <c r="J78" s="515">
        <f>'Ekonomiskā analīze'!I$21+'Ekonomiskā analīze'!I$19*'Jutīguma analīze_EA'!$B78</f>
        <v>151008.17611288338</v>
      </c>
      <c r="K78" s="515">
        <f>'Ekonomiskā analīze'!J$21+'Ekonomiskā analīze'!J$19*'Jutīguma analīze_EA'!$B78</f>
        <v>157468.10528950224</v>
      </c>
      <c r="L78" s="515">
        <f>'Ekonomiskā analīze'!K$21+'Ekonomiskā analīze'!K$19*'Jutīguma analīze_EA'!$B78</f>
        <v>160111.08701357909</v>
      </c>
      <c r="M78" s="515">
        <f>'Ekonomiskā analīze'!L$21+'Ekonomiskā analīze'!L$19*'Jutīguma analīze_EA'!$B78</f>
        <v>160106.49867238884</v>
      </c>
      <c r="N78" s="515">
        <f>'Ekonomiskā analīze'!M$21+'Ekonomiskā analīze'!M$19*'Jutīguma analīze_EA'!$B78</f>
        <v>160438.41126301422</v>
      </c>
      <c r="O78" s="515">
        <f>'Ekonomiskā analīze'!N$21+'Ekonomiskā analīze'!N$19*'Jutīguma analīze_EA'!$B78</f>
        <v>160256.27707815624</v>
      </c>
      <c r="P78" s="515">
        <f>'Ekonomiskā analīze'!O$21+'Ekonomiskā analīze'!O$19*'Jutīguma analīze_EA'!$B78</f>
        <v>158647.86053478922</v>
      </c>
      <c r="Q78" s="515">
        <f>'Ekonomiskā analīze'!P$21+'Ekonomiskā analīze'!P$19*'Jutīguma analīze_EA'!$B78</f>
        <v>162081.70312272158</v>
      </c>
      <c r="R78" s="515">
        <f>'Ekonomiskā analīze'!Q$21+'Ekonomiskā analīze'!Q$19*'Jutīguma analīze_EA'!$B78</f>
        <v>168186.85028481504</v>
      </c>
      <c r="S78" s="515">
        <f>'Ekonomiskā analīze'!R$21+'Ekonomiskā analīze'!R$19*'Jutīguma analīze_EA'!$B78</f>
        <v>195944.19245743658</v>
      </c>
      <c r="T78" s="515">
        <f>'Ekonomiskā analīze'!S$21+'Ekonomiskā analīze'!S$19*'Jutīguma analīze_EA'!$B78</f>
        <v>204486.83618630408</v>
      </c>
      <c r="U78" s="515">
        <f>'Ekonomiskā analīze'!T$21+'Ekonomiskā analīze'!T$19*'Jutīguma analīze_EA'!$B78</f>
        <v>203713.24822494044</v>
      </c>
      <c r="V78" s="515">
        <f>'Ekonomiskā analīze'!U$21+'Ekonomiskā analīze'!U$19*'Jutīguma analīze_EA'!$B78</f>
        <v>207940.23844087351</v>
      </c>
      <c r="W78" s="515">
        <f>'Ekonomiskā analīze'!V$21+'Ekonomiskā analīze'!V$19*'Jutīguma analīze_EA'!$B78</f>
        <v>219199.97554099854</v>
      </c>
      <c r="X78" s="515">
        <f>'Ekonomiskā analīze'!W$21+'Ekonomiskā analīze'!W$19*'Jutīguma analīze_EA'!$B78</f>
        <v>223390.46482511546</v>
      </c>
      <c r="Y78" s="515">
        <f>'Ekonomiskā analīze'!X$21+'Ekonomiskā analīze'!X$19*'Jutīguma analīze_EA'!$B78</f>
        <v>230343.85028449923</v>
      </c>
      <c r="Z78" s="515">
        <f>'Ekonomiskā analīze'!Y$21+'Ekonomiskā analīze'!Y$19*'Jutīguma analīze_EA'!$B78</f>
        <v>234534.33956861665</v>
      </c>
      <c r="AA78" s="515">
        <f>'Ekonomiskā analīze'!Z$21+'Ekonomiskā analīze'!Z$19*'Jutīguma analīze_EA'!$B78</f>
        <v>238366.0536800042</v>
      </c>
      <c r="AB78" s="515">
        <f>'Ekonomiskā analīze'!AA$21+'Ekonomiskā analīze'!AA$19*'Jutīguma analīze_EA'!$B78</f>
        <v>242903.39533612039</v>
      </c>
      <c r="AC78" s="515">
        <f>'Ekonomiskā analīze'!AB$21+'Ekonomiskā analīze'!AB$19*'Jutīguma analīze_EA'!$B78</f>
        <v>244781.24412623982</v>
      </c>
      <c r="AD78" s="515">
        <f>'Ekonomiskā analīze'!AC$21+'Ekonomiskā analīze'!AC$19*'Jutīguma analīze_EA'!$B78</f>
        <v>215038.93850959436</v>
      </c>
      <c r="AE78" s="515">
        <f>'Ekonomiskā analīze'!AD$21+'Ekonomiskā analīze'!AD$19*'Jutīguma analīze_EA'!$B78</f>
        <v>150050.43350703316</v>
      </c>
      <c r="AF78" s="515">
        <f>'Ekonomiskā analīze'!AE$21+'Ekonomiskā analīze'!AE$19*'Jutīguma analīze_EA'!$B78</f>
        <v>151131.73228988034</v>
      </c>
      <c r="AG78" s="515">
        <f>'Ekonomiskā analīze'!AF$21+'Ekonomiskā analīze'!AF$19*'Jutīguma analīze_EA'!$B78</f>
        <v>144678.17556234263</v>
      </c>
      <c r="AH78" s="515">
        <f>'Ekonomiskā analīze'!AG$21+'Ekonomiskā analīze'!AG$19*'Jutīguma analīze_EA'!$B78</f>
        <v>696203.69612649537</v>
      </c>
      <c r="AI78" s="515">
        <f>'Ekonomiskā analīze'!AH$21+'Ekonomiskā analīze'!AH$19*'Jutīguma analīze_EA'!$B78</f>
        <v>150451.21669064806</v>
      </c>
    </row>
    <row r="79" spans="1:35" ht="12.75" x14ac:dyDescent="0.2">
      <c r="A79" s="504"/>
      <c r="B79" s="504"/>
      <c r="C79" s="504"/>
    </row>
    <row r="80" spans="1:35" ht="12.75" x14ac:dyDescent="0.2">
      <c r="A80" s="112" t="s">
        <v>156</v>
      </c>
      <c r="B80" s="111" t="s">
        <v>189</v>
      </c>
      <c r="C80" s="111" t="s">
        <v>141</v>
      </c>
      <c r="D80" s="111" t="s">
        <v>139</v>
      </c>
      <c r="F80" s="111" t="s">
        <v>141</v>
      </c>
    </row>
    <row r="81" spans="1:34" ht="12.75" x14ac:dyDescent="0.2">
      <c r="A81" s="638"/>
      <c r="B81" s="115">
        <v>0.1</v>
      </c>
      <c r="C81" s="675">
        <f>NPV('Kopējie pieņēmumi'!B$19,D12:AI12)</f>
        <v>1065399.2575745115</v>
      </c>
      <c r="D81" s="677">
        <f t="shared" ref="D81:D91" si="4">IRR(D12:AI12,0)</f>
        <v>0.15406856057791041</v>
      </c>
      <c r="E81" s="114"/>
      <c r="F81" s="677">
        <f t="shared" ref="F81:F91" si="5">C81/$C$86-1</f>
        <v>0.16424113103231885</v>
      </c>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row>
    <row r="82" spans="1:34" ht="11.25" x14ac:dyDescent="0.2">
      <c r="A82" s="658"/>
      <c r="B82" s="115">
        <v>7.4999999999999997E-2</v>
      </c>
      <c r="C82" s="675">
        <f>NPV('Kopējie pieņēmumi'!B$19,D13:AI13)</f>
        <v>1027824.9152838651</v>
      </c>
      <c r="D82" s="677">
        <f t="shared" si="4"/>
        <v>0.1514752800495951</v>
      </c>
      <c r="E82" s="114"/>
      <c r="F82" s="677">
        <f t="shared" si="5"/>
        <v>0.12318084827423914</v>
      </c>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row>
    <row r="83" spans="1:34" ht="11.25" x14ac:dyDescent="0.2">
      <c r="A83" s="658"/>
      <c r="B83" s="115">
        <v>0.05</v>
      </c>
      <c r="C83" s="675">
        <f>NPV('Kopējie pieņēmumi'!B$19,D14:AI14)</f>
        <v>990250.57299321925</v>
      </c>
      <c r="D83" s="677">
        <f t="shared" si="4"/>
        <v>0.14886814434233986</v>
      </c>
      <c r="E83" s="114"/>
      <c r="F83" s="677">
        <f t="shared" si="5"/>
        <v>8.2120565516159871E-2</v>
      </c>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row>
    <row r="84" spans="1:34" ht="11.25" x14ac:dyDescent="0.2">
      <c r="A84" s="658"/>
      <c r="B84" s="115">
        <v>2.5000000000000001E-2</v>
      </c>
      <c r="C84" s="675">
        <f>NPV('Kopējie pieņēmumi'!B$19,D15:AI15)</f>
        <v>952676.2307025725</v>
      </c>
      <c r="D84" s="677">
        <f t="shared" si="4"/>
        <v>0.14624638720175787</v>
      </c>
      <c r="E84" s="114"/>
      <c r="F84" s="677">
        <f t="shared" si="5"/>
        <v>4.1060282758079936E-2</v>
      </c>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row>
    <row r="85" spans="1:34" ht="11.25" x14ac:dyDescent="0.2">
      <c r="A85" s="658"/>
      <c r="B85" s="115">
        <v>0.01</v>
      </c>
      <c r="C85" s="675">
        <f>NPV('Kopējie pieņēmumi'!B$19,D16:AI16)</f>
        <v>930131.62532818469</v>
      </c>
      <c r="D85" s="677">
        <f t="shared" si="4"/>
        <v>0.14466597981409235</v>
      </c>
      <c r="E85" s="114"/>
      <c r="F85" s="677">
        <f t="shared" si="5"/>
        <v>1.6424113103232107E-2</v>
      </c>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row>
    <row r="86" spans="1:34" ht="11.25" x14ac:dyDescent="0.2">
      <c r="A86" s="658"/>
      <c r="B86" s="116">
        <v>0</v>
      </c>
      <c r="C86" s="676">
        <f>NPV('Kopējie pieņēmumi'!B$19,D17:AI17)</f>
        <v>915101.88841192599</v>
      </c>
      <c r="D86" s="673">
        <f t="shared" si="4"/>
        <v>0.14360919921848803</v>
      </c>
      <c r="E86" s="114"/>
      <c r="F86" s="673">
        <f>C86/$C$86-1</f>
        <v>0</v>
      </c>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row>
    <row r="87" spans="1:34" ht="11.25" x14ac:dyDescent="0.2">
      <c r="A87" s="658"/>
      <c r="B87" s="115">
        <v>-0.01</v>
      </c>
      <c r="C87" s="675">
        <f>NPV('Kopējie pieņēmumi'!B$19,D18:AI18)</f>
        <v>900072.15149566776</v>
      </c>
      <c r="D87" s="677">
        <f t="shared" si="4"/>
        <v>0.14254981327685567</v>
      </c>
      <c r="E87" s="114"/>
      <c r="F87" s="677">
        <f t="shared" si="5"/>
        <v>-1.6424113103231552E-2</v>
      </c>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row>
    <row r="88" spans="1:34" ht="11.25" x14ac:dyDescent="0.2">
      <c r="A88" s="658"/>
      <c r="B88" s="115">
        <v>-2.5000000000000001E-2</v>
      </c>
      <c r="C88" s="675">
        <f>NPV('Kopējie pieņēmumi'!B$19,D19:AI19)</f>
        <v>877527.54612127971</v>
      </c>
      <c r="D88" s="677">
        <f t="shared" si="4"/>
        <v>0.14095572428365477</v>
      </c>
      <c r="E88" s="114"/>
      <c r="F88" s="677">
        <f t="shared" si="5"/>
        <v>-4.1060282758079603E-2</v>
      </c>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row>
    <row r="89" spans="1:34" ht="11.25" x14ac:dyDescent="0.2">
      <c r="A89" s="658"/>
      <c r="B89" s="115">
        <v>-0.05</v>
      </c>
      <c r="C89" s="675">
        <f>NPV('Kopējie pieņēmumi'!B$19,D20:AI20)</f>
        <v>839953.20383063331</v>
      </c>
      <c r="D89" s="677">
        <f t="shared" si="4"/>
        <v>0.1382850556805566</v>
      </c>
      <c r="E89" s="114"/>
      <c r="F89" s="677">
        <f t="shared" si="5"/>
        <v>-8.2120565516159316E-2</v>
      </c>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row>
    <row r="90" spans="1:34" ht="11.25" x14ac:dyDescent="0.2">
      <c r="A90" s="658"/>
      <c r="B90" s="115">
        <v>-7.4999999999999997E-2</v>
      </c>
      <c r="C90" s="675">
        <f>NPV('Kopējie pieņēmumi'!B$19,D21:AI21)</f>
        <v>802378.86153998703</v>
      </c>
      <c r="D90" s="677">
        <f t="shared" si="4"/>
        <v>0.13559623176659197</v>
      </c>
      <c r="E90" s="114"/>
      <c r="F90" s="677">
        <f t="shared" si="5"/>
        <v>-0.12318084827423892</v>
      </c>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row>
    <row r="91" spans="1:34" ht="11.25" x14ac:dyDescent="0.2">
      <c r="A91" s="659"/>
      <c r="B91" s="115">
        <v>-0.1</v>
      </c>
      <c r="C91" s="675">
        <f>NPV('Kopējie pieņēmumi'!B$19,D22:AI22)</f>
        <v>764804.51924934075</v>
      </c>
      <c r="D91" s="677">
        <f t="shared" si="4"/>
        <v>0.1328882311924684</v>
      </c>
      <c r="E91" s="114"/>
      <c r="F91" s="677">
        <f t="shared" si="5"/>
        <v>-0.16424113103231852</v>
      </c>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row>
    <row r="92" spans="1:34" ht="12.75" x14ac:dyDescent="0.2">
      <c r="A92" s="112" t="s">
        <v>147</v>
      </c>
      <c r="B92" s="111" t="s">
        <v>189</v>
      </c>
      <c r="C92" s="111" t="s">
        <v>141</v>
      </c>
      <c r="D92" s="111" t="s">
        <v>139</v>
      </c>
      <c r="F92" s="111" t="s">
        <v>141</v>
      </c>
    </row>
    <row r="93" spans="1:34" ht="12.75" x14ac:dyDescent="0.2">
      <c r="A93" s="638"/>
      <c r="B93" s="115">
        <v>0.1</v>
      </c>
      <c r="C93" s="675">
        <f>NPV('Kopējie pieņēmumi'!B$19,D26:AI26)</f>
        <v>937913.33264852595</v>
      </c>
      <c r="D93" s="677">
        <f t="shared" ref="D93:D103" si="6">IRR(D26:AI26,0)</f>
        <v>0.14535385480464691</v>
      </c>
      <c r="F93" s="680">
        <f t="shared" ref="F93:F103" si="7">C93/$C$98-1</f>
        <v>2.4927764356586612E-2</v>
      </c>
    </row>
    <row r="94" spans="1:34" ht="11.25" x14ac:dyDescent="0.2">
      <c r="A94" s="658"/>
      <c r="B94" s="115">
        <v>7.4999999999999997E-2</v>
      </c>
      <c r="C94" s="675">
        <f>NPV('Kopējie pieņēmumi'!B$19,D27:AI27)</f>
        <v>932210.47158937599</v>
      </c>
      <c r="D94" s="677">
        <f t="shared" si="6"/>
        <v>0.14491782239833917</v>
      </c>
      <c r="F94" s="680">
        <f t="shared" si="7"/>
        <v>1.8695823267440126E-2</v>
      </c>
    </row>
    <row r="95" spans="1:34" ht="11.25" x14ac:dyDescent="0.2">
      <c r="A95" s="658"/>
      <c r="B95" s="115">
        <v>0.05</v>
      </c>
      <c r="C95" s="675">
        <f>NPV('Kopējie pieņēmumi'!B$19,D28:AI28)</f>
        <v>926507.61053022603</v>
      </c>
      <c r="D95" s="677">
        <f t="shared" si="6"/>
        <v>0.14448170307109587</v>
      </c>
      <c r="F95" s="680">
        <f t="shared" si="7"/>
        <v>1.2463882178293417E-2</v>
      </c>
    </row>
    <row r="96" spans="1:34" ht="11.25" x14ac:dyDescent="0.2">
      <c r="A96" s="658"/>
      <c r="B96" s="115">
        <v>2.5000000000000001E-2</v>
      </c>
      <c r="C96" s="675">
        <f>NPV('Kopējie pieņēmumi'!B$19,D29:AI29)</f>
        <v>920804.74947107607</v>
      </c>
      <c r="D96" s="677">
        <f t="shared" si="6"/>
        <v>0.14404549571788894</v>
      </c>
      <c r="F96" s="680">
        <f t="shared" si="7"/>
        <v>6.2319410891467086E-3</v>
      </c>
    </row>
    <row r="97" spans="1:6" ht="11.25" x14ac:dyDescent="0.2">
      <c r="A97" s="658"/>
      <c r="B97" s="115">
        <v>0.01</v>
      </c>
      <c r="C97" s="675">
        <f>NPV('Kopējie pieņēmumi'!B$19,D30:AI30)</f>
        <v>917383.03283558635</v>
      </c>
      <c r="D97" s="677">
        <f t="shared" si="6"/>
        <v>0.1437837285881236</v>
      </c>
      <c r="F97" s="680">
        <f t="shared" si="7"/>
        <v>2.4927764356590387E-3</v>
      </c>
    </row>
    <row r="98" spans="1:6" ht="11.25" x14ac:dyDescent="0.2">
      <c r="A98" s="658"/>
      <c r="B98" s="116">
        <v>0</v>
      </c>
      <c r="C98" s="676">
        <f>NPV('Kopējie pieņēmumi'!B$19,D31:AI31)</f>
        <v>915101.88841192599</v>
      </c>
      <c r="D98" s="673">
        <f t="shared" si="6"/>
        <v>0.14360919921848803</v>
      </c>
      <c r="F98" s="682">
        <f t="shared" si="7"/>
        <v>0</v>
      </c>
    </row>
    <row r="99" spans="1:6" ht="11.25" x14ac:dyDescent="0.2">
      <c r="A99" s="658"/>
      <c r="B99" s="115">
        <v>-0.01</v>
      </c>
      <c r="C99" s="675">
        <f>NPV('Kopējie pieņēmumi'!B$19,D32:AI32)</f>
        <v>912820.74398826621</v>
      </c>
      <c r="D99" s="677">
        <f t="shared" si="6"/>
        <v>0.14343465540394051</v>
      </c>
      <c r="F99" s="680">
        <f t="shared" si="7"/>
        <v>-2.4927764356583726E-3</v>
      </c>
    </row>
    <row r="100" spans="1:6" ht="11.25" x14ac:dyDescent="0.2">
      <c r="A100" s="658"/>
      <c r="B100" s="115">
        <v>-2.5000000000000001E-2</v>
      </c>
      <c r="C100" s="675">
        <f>NPV('Kopējie pieņēmumi'!B$19,D33:AI33)</f>
        <v>909399.02735277626</v>
      </c>
      <c r="D100" s="677">
        <f t="shared" si="6"/>
        <v>0.14317281243730018</v>
      </c>
      <c r="F100" s="680">
        <f t="shared" si="7"/>
        <v>-6.2319410891463756E-3</v>
      </c>
    </row>
    <row r="101" spans="1:6" ht="11.25" x14ac:dyDescent="0.2">
      <c r="A101" s="658"/>
      <c r="B101" s="115">
        <v>-0.05</v>
      </c>
      <c r="C101" s="675">
        <f>NPV('Kopējie pieņēmumi'!B$19,D34:AI34)</f>
        <v>903696.16629362653</v>
      </c>
      <c r="D101" s="677">
        <f t="shared" si="6"/>
        <v>0.14273633422320553</v>
      </c>
      <c r="F101" s="680">
        <f t="shared" si="7"/>
        <v>-1.2463882178292751E-2</v>
      </c>
    </row>
    <row r="102" spans="1:6" ht="11.25" x14ac:dyDescent="0.2">
      <c r="A102" s="658"/>
      <c r="B102" s="115">
        <v>-7.4999999999999997E-2</v>
      </c>
      <c r="C102" s="675">
        <f>NPV('Kopējie pieņēmumi'!B$19,D35:AI35)</f>
        <v>897993.30523447657</v>
      </c>
      <c r="D102" s="677">
        <f t="shared" si="6"/>
        <v>0.14229976340939254</v>
      </c>
      <c r="F102" s="680">
        <f t="shared" si="7"/>
        <v>-1.8695823267439349E-2</v>
      </c>
    </row>
    <row r="103" spans="1:6" ht="11.25" x14ac:dyDescent="0.2">
      <c r="A103" s="659"/>
      <c r="B103" s="115">
        <v>-0.1</v>
      </c>
      <c r="C103" s="675">
        <f>NPV('Kopējie pieņēmumi'!B$19,D36:AI36)</f>
        <v>892290.4441753265</v>
      </c>
      <c r="D103" s="677">
        <f t="shared" si="6"/>
        <v>0.14186309881319148</v>
      </c>
      <c r="F103" s="680">
        <f t="shared" si="7"/>
        <v>-2.4927764356586168E-2</v>
      </c>
    </row>
    <row r="104" spans="1:6" ht="12.75" x14ac:dyDescent="0.2">
      <c r="A104" s="112" t="s">
        <v>161</v>
      </c>
      <c r="B104" s="111" t="s">
        <v>189</v>
      </c>
      <c r="C104" s="111" t="s">
        <v>141</v>
      </c>
      <c r="D104" s="111" t="s">
        <v>139</v>
      </c>
      <c r="F104" s="111" t="s">
        <v>141</v>
      </c>
    </row>
    <row r="105" spans="1:6" ht="12.75" x14ac:dyDescent="0.2">
      <c r="A105" s="638"/>
      <c r="B105" s="115">
        <v>0.1</v>
      </c>
      <c r="C105" s="675">
        <f>NPV('Kopējie pieņēmumi'!B$19,D40:AI40)</f>
        <v>920839.81582690077</v>
      </c>
      <c r="D105" s="677">
        <f t="shared" ref="D105:D115" si="8">IRR(D40:AI40,0)</f>
        <v>0.14445612682986564</v>
      </c>
      <c r="F105" s="680">
        <f t="shared" ref="F105:F115" si="9">C105/$C$110-1</f>
        <v>6.2702607082720796E-3</v>
      </c>
    </row>
    <row r="106" spans="1:6" ht="11.25" x14ac:dyDescent="0.2">
      <c r="A106" s="658"/>
      <c r="B106" s="115">
        <v>7.4999999999999997E-2</v>
      </c>
      <c r="C106" s="675">
        <f>NPV('Kopējie pieņēmumi'!B$19,D41:AI41)</f>
        <v>919405.33397315722</v>
      </c>
      <c r="D106" s="677">
        <f t="shared" si="8"/>
        <v>0.14424345257432769</v>
      </c>
      <c r="F106" s="680">
        <f t="shared" si="9"/>
        <v>4.7026955312041707E-3</v>
      </c>
    </row>
    <row r="107" spans="1:6" ht="11.25" x14ac:dyDescent="0.2">
      <c r="A107" s="658"/>
      <c r="B107" s="115">
        <v>0.05</v>
      </c>
      <c r="C107" s="675">
        <f>NPV('Kopējie pieņēmumi'!B$19,D42:AI42)</f>
        <v>917970.85211941344</v>
      </c>
      <c r="D107" s="677">
        <f t="shared" si="8"/>
        <v>0.14403140870443698</v>
      </c>
      <c r="F107" s="680">
        <f t="shared" si="9"/>
        <v>3.1351303541360398E-3</v>
      </c>
    </row>
    <row r="108" spans="1:6" ht="11.25" x14ac:dyDescent="0.2">
      <c r="A108" s="658"/>
      <c r="B108" s="115">
        <v>2.5000000000000001E-2</v>
      </c>
      <c r="C108" s="675">
        <f>NPV('Kopējie pieņēmumi'!B$19,D43:AI43)</f>
        <v>916536.37026566977</v>
      </c>
      <c r="D108" s="677">
        <f t="shared" si="8"/>
        <v>0.14381999198861828</v>
      </c>
      <c r="F108" s="680">
        <f t="shared" si="9"/>
        <v>1.5675651770681309E-3</v>
      </c>
    </row>
    <row r="109" spans="1:6" ht="11.25" x14ac:dyDescent="0.2">
      <c r="A109" s="658"/>
      <c r="B109" s="115">
        <v>0.01</v>
      </c>
      <c r="C109" s="675">
        <f>NPV('Kopējie pieņēmumi'!B$19,D44:AI44)</f>
        <v>915675.6811534235</v>
      </c>
      <c r="D109" s="677">
        <f t="shared" si="8"/>
        <v>0.14369344165743536</v>
      </c>
      <c r="F109" s="680">
        <f t="shared" si="9"/>
        <v>6.2702607082720796E-4</v>
      </c>
    </row>
    <row r="110" spans="1:6" ht="11.25" x14ac:dyDescent="0.2">
      <c r="A110" s="658"/>
      <c r="B110" s="116">
        <v>0</v>
      </c>
      <c r="C110" s="676">
        <f>NPV('Kopējie pieņēmumi'!B$19,D45:AI45)</f>
        <v>915101.88841192599</v>
      </c>
      <c r="D110" s="673">
        <f t="shared" si="8"/>
        <v>0.14360919921848803</v>
      </c>
      <c r="F110" s="682">
        <f t="shared" si="9"/>
        <v>0</v>
      </c>
    </row>
    <row r="111" spans="1:6" ht="11.25" x14ac:dyDescent="0.2">
      <c r="A111" s="658"/>
      <c r="B111" s="115">
        <v>-0.01</v>
      </c>
      <c r="C111" s="675">
        <f>NPV('Kopējie pieņēmumi'!B$19,D46:AI46)</f>
        <v>914528.09567042859</v>
      </c>
      <c r="D111" s="677">
        <f t="shared" si="8"/>
        <v>0.14352505610093158</v>
      </c>
      <c r="F111" s="680">
        <f t="shared" si="9"/>
        <v>-6.2702607082709694E-4</v>
      </c>
    </row>
    <row r="112" spans="1:6" ht="11.25" x14ac:dyDescent="0.2">
      <c r="A112" s="658"/>
      <c r="B112" s="115">
        <v>-2.5000000000000001E-2</v>
      </c>
      <c r="C112" s="675">
        <f>NPV('Kopējie pieņēmumi'!B$19,D47:AI47)</f>
        <v>913667.40655818244</v>
      </c>
      <c r="D112" s="677">
        <f t="shared" si="8"/>
        <v>0.14339902720864428</v>
      </c>
      <c r="F112" s="680">
        <f t="shared" si="9"/>
        <v>-1.5675651770677979E-3</v>
      </c>
    </row>
    <row r="113" spans="1:6" ht="11.25" x14ac:dyDescent="0.2">
      <c r="A113" s="658"/>
      <c r="B113" s="115">
        <v>-0.05</v>
      </c>
      <c r="C113" s="675">
        <f>NPV('Kopējie pieņēmumi'!B$19,D48:AI48)</f>
        <v>912232.92470443854</v>
      </c>
      <c r="D113" s="677">
        <f t="shared" si="8"/>
        <v>0.14318947279645289</v>
      </c>
      <c r="F113" s="680">
        <f t="shared" si="9"/>
        <v>-3.1351303541360398E-3</v>
      </c>
    </row>
    <row r="114" spans="1:6" ht="11.25" x14ac:dyDescent="0.2">
      <c r="A114" s="658"/>
      <c r="B114" s="115">
        <v>-7.4999999999999997E-2</v>
      </c>
      <c r="C114" s="675">
        <f>NPV('Kopējie pieņēmumi'!B$19,D49:AI49)</f>
        <v>910798.44285069499</v>
      </c>
      <c r="D114" s="677">
        <f t="shared" si="8"/>
        <v>0.14298053284184031</v>
      </c>
      <c r="F114" s="680">
        <f t="shared" si="9"/>
        <v>-4.7026955312038377E-3</v>
      </c>
    </row>
    <row r="115" spans="1:6" ht="11.25" x14ac:dyDescent="0.2">
      <c r="A115" s="659"/>
      <c r="B115" s="115">
        <v>-0.1</v>
      </c>
      <c r="C115" s="675">
        <f>NPV('Kopējie pieņēmumi'!B$19,D50:AI50)</f>
        <v>909363.96099695121</v>
      </c>
      <c r="D115" s="677">
        <f t="shared" si="8"/>
        <v>0.14277220422708847</v>
      </c>
      <c r="F115" s="680">
        <f t="shared" si="9"/>
        <v>-6.2702607082719686E-3</v>
      </c>
    </row>
    <row r="116" spans="1:6" ht="12.75" x14ac:dyDescent="0.2">
      <c r="A116" s="112" t="s">
        <v>148</v>
      </c>
      <c r="B116" s="111" t="s">
        <v>189</v>
      </c>
      <c r="C116" s="111" t="s">
        <v>141</v>
      </c>
      <c r="D116" s="111" t="s">
        <v>139</v>
      </c>
      <c r="F116" s="111" t="s">
        <v>141</v>
      </c>
    </row>
    <row r="117" spans="1:6" ht="12.75" x14ac:dyDescent="0.2">
      <c r="A117" s="638"/>
      <c r="B117" s="115">
        <v>0.1</v>
      </c>
      <c r="C117" s="675">
        <f>NPV('Kopējie pieņēmumi'!B$19,D54:AI54)</f>
        <v>919160.34992306121</v>
      </c>
      <c r="D117" s="677">
        <f t="shared" ref="D117:D127" si="10">IRR(D54:AI54,0)</f>
        <v>0.14381107983019548</v>
      </c>
      <c r="F117" s="680">
        <f t="shared" ref="F117:F127" si="11">C117/$C$122-1</f>
        <v>4.4349832106436171E-3</v>
      </c>
    </row>
    <row r="118" spans="1:6" ht="11.25" x14ac:dyDescent="0.2">
      <c r="A118" s="658"/>
      <c r="B118" s="115">
        <v>7.4999999999999997E-2</v>
      </c>
      <c r="C118" s="675">
        <f>NPV('Kopējie pieņēmumi'!B$19,D55:AI55)</f>
        <v>918145.73454527743</v>
      </c>
      <c r="D118" s="677">
        <f t="shared" si="10"/>
        <v>0.14376061871020585</v>
      </c>
      <c r="F118" s="680">
        <f t="shared" si="11"/>
        <v>3.3262374079827683E-3</v>
      </c>
    </row>
    <row r="119" spans="1:6" ht="11.25" x14ac:dyDescent="0.2">
      <c r="A119" s="658"/>
      <c r="B119" s="115">
        <v>0.05</v>
      </c>
      <c r="C119" s="675">
        <f>NPV('Kopējie pieņēmumi'!B$19,D56:AI56)</f>
        <v>917131.11916749354</v>
      </c>
      <c r="D119" s="677">
        <f t="shared" si="10"/>
        <v>0.14371015159419143</v>
      </c>
      <c r="F119" s="680">
        <f t="shared" si="11"/>
        <v>2.2174916053216975E-3</v>
      </c>
    </row>
    <row r="120" spans="1:6" ht="11.25" x14ac:dyDescent="0.2">
      <c r="A120" s="658"/>
      <c r="B120" s="115">
        <v>2.5000000000000001E-2</v>
      </c>
      <c r="C120" s="675">
        <f>NPV('Kopējie pieņēmumi'!B$19,D57:AI57)</f>
        <v>916116.50378970988</v>
      </c>
      <c r="D120" s="677">
        <f t="shared" si="10"/>
        <v>0.14365967844327732</v>
      </c>
      <c r="F120" s="680">
        <f t="shared" si="11"/>
        <v>1.1087458026610708E-3</v>
      </c>
    </row>
    <row r="121" spans="1:6" ht="11.25" x14ac:dyDescent="0.2">
      <c r="A121" s="658"/>
      <c r="B121" s="115">
        <v>0.01</v>
      </c>
      <c r="C121" s="675">
        <f>NPV('Kopējie pieņēmumi'!B$19,D58:AI58)</f>
        <v>915507.73456303973</v>
      </c>
      <c r="D121" s="677">
        <f t="shared" si="10"/>
        <v>0.14362939163976707</v>
      </c>
      <c r="F121" s="680">
        <f t="shared" si="11"/>
        <v>4.4349832106460596E-4</v>
      </c>
    </row>
    <row r="122" spans="1:6" ht="11.25" x14ac:dyDescent="0.2">
      <c r="A122" s="658"/>
      <c r="B122" s="116">
        <v>0</v>
      </c>
      <c r="C122" s="676">
        <f>NPV('Kopējie pieņēmumi'!B$19,D59:AI59)</f>
        <v>915101.88841192599</v>
      </c>
      <c r="D122" s="673">
        <f t="shared" si="10"/>
        <v>0.14360919921848803</v>
      </c>
      <c r="E122" s="509"/>
      <c r="F122" s="682">
        <f t="shared" si="11"/>
        <v>0</v>
      </c>
    </row>
    <row r="123" spans="1:6" ht="11.25" x14ac:dyDescent="0.2">
      <c r="A123" s="658"/>
      <c r="B123" s="115">
        <v>-0.01</v>
      </c>
      <c r="C123" s="675">
        <f>NPV('Kopējie pieņēmumi'!B$19,D60:AI60)</f>
        <v>914696.04226081248</v>
      </c>
      <c r="D123" s="677">
        <f t="shared" si="10"/>
        <v>0.14358900581913847</v>
      </c>
      <c r="E123" s="509"/>
      <c r="F123" s="680">
        <f t="shared" si="11"/>
        <v>-4.4349832106438392E-4</v>
      </c>
    </row>
    <row r="124" spans="1:6" ht="11.25" x14ac:dyDescent="0.2">
      <c r="A124" s="658"/>
      <c r="B124" s="115">
        <v>-2.5000000000000001E-2</v>
      </c>
      <c r="C124" s="675">
        <f>NPV('Kopējie pieņēmumi'!B$19,D61:AI61)</f>
        <v>914087.27303414233</v>
      </c>
      <c r="D124" s="677">
        <f t="shared" si="10"/>
        <v>0.14355871388075081</v>
      </c>
      <c r="F124" s="680">
        <f t="shared" si="11"/>
        <v>-1.1087458026607377E-3</v>
      </c>
    </row>
    <row r="125" spans="1:6" ht="11.25" x14ac:dyDescent="0.2">
      <c r="A125" s="658"/>
      <c r="B125" s="115">
        <v>-0.05</v>
      </c>
      <c r="C125" s="675">
        <f>NPV('Kopējie pieņēmumi'!B$19,D62:AI62)</f>
        <v>913072.65765635855</v>
      </c>
      <c r="D125" s="677">
        <f t="shared" si="10"/>
        <v>0.14350822239089123</v>
      </c>
      <c r="F125" s="680">
        <f t="shared" si="11"/>
        <v>-2.2174916053216975E-3</v>
      </c>
    </row>
    <row r="126" spans="1:6" ht="11.25" x14ac:dyDescent="0.2">
      <c r="A126" s="658"/>
      <c r="B126" s="115">
        <v>-7.4999999999999997E-2</v>
      </c>
      <c r="C126" s="675">
        <f>NPV('Kopējie pieņēmumi'!B$19,D63:AI63)</f>
        <v>912058.04227857455</v>
      </c>
      <c r="D126" s="677">
        <f t="shared" si="10"/>
        <v>0.14345772470963447</v>
      </c>
      <c r="F126" s="680">
        <f t="shared" si="11"/>
        <v>-3.3262374079827683E-3</v>
      </c>
    </row>
    <row r="127" spans="1:6" ht="11.25" x14ac:dyDescent="0.2">
      <c r="A127" s="659"/>
      <c r="B127" s="115">
        <v>-0.1</v>
      </c>
      <c r="C127" s="675">
        <f>NPV('Kopējie pieņēmumi'!B$19,D64:AI64)</f>
        <v>911043.42690079077</v>
      </c>
      <c r="D127" s="677">
        <f t="shared" si="10"/>
        <v>0.14340722079760604</v>
      </c>
      <c r="F127" s="680">
        <f t="shared" si="11"/>
        <v>-4.4349832106437281E-3</v>
      </c>
    </row>
    <row r="128" spans="1:6" ht="12.75" x14ac:dyDescent="0.2">
      <c r="A128" s="112" t="s">
        <v>8</v>
      </c>
      <c r="B128" s="111" t="s">
        <v>189</v>
      </c>
      <c r="C128" s="111" t="s">
        <v>141</v>
      </c>
      <c r="D128" s="111" t="s">
        <v>139</v>
      </c>
      <c r="F128" s="111" t="s">
        <v>141</v>
      </c>
    </row>
    <row r="129" spans="1:6" ht="12.75" x14ac:dyDescent="0.2">
      <c r="A129" s="638"/>
      <c r="B129" s="115">
        <v>0.1</v>
      </c>
      <c r="C129" s="675">
        <f>NPV('Kopējie pieņēmumi'!B$19,D68:AI68)</f>
        <v>993447.66884784773</v>
      </c>
      <c r="D129" s="677">
        <f t="shared" ref="D129:D139" si="12">IRR(D68:AI68,0)</f>
        <v>0.15602269819061765</v>
      </c>
      <c r="F129" s="680">
        <f t="shared" ref="F129:F139" si="13">C129/$C$134-1</f>
        <v>8.5614270310253149E-2</v>
      </c>
    </row>
    <row r="130" spans="1:6" ht="11.25" x14ac:dyDescent="0.2">
      <c r="A130" s="658"/>
      <c r="B130" s="115">
        <v>7.4999999999999997E-2</v>
      </c>
      <c r="C130" s="675">
        <f>NPV('Kopējie pieņēmumi'!B$19,D69:AI69)</f>
        <v>973861.22373886732</v>
      </c>
      <c r="D130" s="677">
        <f t="shared" si="12"/>
        <v>0.15271947266834296</v>
      </c>
      <c r="F130" s="680">
        <f t="shared" si="13"/>
        <v>6.4210702732689917E-2</v>
      </c>
    </row>
    <row r="131" spans="1:6" ht="11.25" x14ac:dyDescent="0.2">
      <c r="A131" s="658"/>
      <c r="B131" s="115">
        <v>0.05</v>
      </c>
      <c r="C131" s="675">
        <f>NPV('Kopējie pieņēmumi'!B$19,D70:AI70)</f>
        <v>954274.77862988692</v>
      </c>
      <c r="D131" s="677">
        <f t="shared" si="12"/>
        <v>0.14955587247157198</v>
      </c>
      <c r="F131" s="680">
        <f t="shared" si="13"/>
        <v>4.2807135155126685E-2</v>
      </c>
    </row>
    <row r="132" spans="1:6" ht="11.25" x14ac:dyDescent="0.2">
      <c r="A132" s="658"/>
      <c r="B132" s="115">
        <v>2.5000000000000001E-2</v>
      </c>
      <c r="C132" s="675">
        <f>NPV('Kopējie pieņēmumi'!B$19,D71:AI71)</f>
        <v>934688.33352090651</v>
      </c>
      <c r="D132" s="677">
        <f t="shared" si="12"/>
        <v>0.14652207632732095</v>
      </c>
      <c r="F132" s="680">
        <f t="shared" si="13"/>
        <v>2.1403567577563454E-2</v>
      </c>
    </row>
    <row r="133" spans="1:6" ht="11.25" x14ac:dyDescent="0.2">
      <c r="A133" s="658"/>
      <c r="B133" s="115">
        <v>0.01</v>
      </c>
      <c r="C133" s="675">
        <f>NPV('Kopējie pieņēmumi'!B$19,D72:AI72)</f>
        <v>922936.46645551838</v>
      </c>
      <c r="D133" s="677">
        <f t="shared" si="12"/>
        <v>0.14476037290666954</v>
      </c>
      <c r="F133" s="680">
        <f t="shared" si="13"/>
        <v>8.5614270310254703E-3</v>
      </c>
    </row>
    <row r="134" spans="1:6" ht="11.25" x14ac:dyDescent="0.2">
      <c r="A134" s="658"/>
      <c r="B134" s="116">
        <v>0</v>
      </c>
      <c r="C134" s="676">
        <f>NPV('Kopējie pieņēmumi'!B$19,D73:AI73)</f>
        <v>915101.88841192599</v>
      </c>
      <c r="D134" s="673">
        <f t="shared" si="12"/>
        <v>0.14360919921848803</v>
      </c>
      <c r="F134" s="682">
        <f t="shared" si="13"/>
        <v>0</v>
      </c>
    </row>
    <row r="135" spans="1:6" ht="11.25" x14ac:dyDescent="0.2">
      <c r="A135" s="658"/>
      <c r="B135" s="115">
        <v>-0.01</v>
      </c>
      <c r="C135" s="675">
        <f>NPV('Kopējie pieņēmumi'!B$19,D74:AI74)</f>
        <v>907267.31036833383</v>
      </c>
      <c r="D135" s="677">
        <f t="shared" si="12"/>
        <v>0.14247607487611003</v>
      </c>
      <c r="F135" s="680">
        <f t="shared" si="13"/>
        <v>-8.5614270310252483E-3</v>
      </c>
    </row>
    <row r="136" spans="1:6" ht="11.25" x14ac:dyDescent="0.2">
      <c r="A136" s="658"/>
      <c r="B136" s="115">
        <v>-2.5000000000000001E-2</v>
      </c>
      <c r="C136" s="675">
        <f>NPV('Kopējie pieņēmumi'!B$19,D75:AI75)</f>
        <v>895515.44330294558</v>
      </c>
      <c r="D136" s="677">
        <f t="shared" si="12"/>
        <v>0.14080918150757582</v>
      </c>
      <c r="F136" s="680">
        <f t="shared" si="13"/>
        <v>-2.1403567577563232E-2</v>
      </c>
    </row>
    <row r="137" spans="1:6" ht="11.25" x14ac:dyDescent="0.2">
      <c r="A137" s="658"/>
      <c r="B137" s="115">
        <v>-0.05</v>
      </c>
      <c r="C137" s="675">
        <f>NPV('Kopējie pieņēmumi'!B$19,D76:AI76)</f>
        <v>875928.99819396518</v>
      </c>
      <c r="D137" s="677">
        <f t="shared" si="12"/>
        <v>0.13811469359791917</v>
      </c>
      <c r="F137" s="680">
        <f t="shared" si="13"/>
        <v>-4.2807135155126463E-2</v>
      </c>
    </row>
    <row r="138" spans="1:6" ht="11.25" x14ac:dyDescent="0.2">
      <c r="A138" s="658"/>
      <c r="B138" s="115">
        <v>-7.4999999999999997E-2</v>
      </c>
      <c r="C138" s="675">
        <f>NPV('Kopējie pieņēmumi'!B$19,D77:AI77)</f>
        <v>856342.55308498477</v>
      </c>
      <c r="D138" s="677">
        <f t="shared" si="12"/>
        <v>0.13551905363502037</v>
      </c>
      <c r="F138" s="680">
        <f t="shared" si="13"/>
        <v>-6.4210702732689806E-2</v>
      </c>
    </row>
    <row r="139" spans="1:6" ht="11.25" x14ac:dyDescent="0.2">
      <c r="A139" s="659"/>
      <c r="B139" s="115">
        <v>-0.1</v>
      </c>
      <c r="C139" s="675">
        <f>NPV('Kopējie pieņēmumi'!B$19,D78:AI78)</f>
        <v>836756.10797600425</v>
      </c>
      <c r="D139" s="677">
        <f t="shared" si="12"/>
        <v>0.13301615620111162</v>
      </c>
      <c r="F139" s="680">
        <f t="shared" si="13"/>
        <v>-8.5614270310253149E-2</v>
      </c>
    </row>
  </sheetData>
  <mergeCells count="8">
    <mergeCell ref="A68:A78"/>
    <mergeCell ref="A12:A22"/>
    <mergeCell ref="A26:A36"/>
    <mergeCell ref="A40:A50"/>
    <mergeCell ref="A54:A64"/>
    <mergeCell ref="A53:AI53"/>
    <mergeCell ref="A39:AI39"/>
    <mergeCell ref="A67:AI67"/>
  </mergeCells>
  <phoneticPr fontId="2" type="noConversion"/>
  <pageMargins left="0.7" right="0.7" top="0.75" bottom="0.75" header="0.3" footer="0.3"/>
  <pageSetup paperSize="9" scale="70"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election activeCell="J17" sqref="A15:J17"/>
    </sheetView>
  </sheetViews>
  <sheetFormatPr defaultRowHeight="12.75" x14ac:dyDescent="0.2"/>
  <cols>
    <col min="1" max="1" width="41.85546875" style="431" customWidth="1"/>
    <col min="2" max="2" width="17.140625" style="431" customWidth="1"/>
    <col min="3" max="4" width="7.28515625" style="431" customWidth="1"/>
    <col min="5" max="5" width="12.140625" style="431" customWidth="1"/>
    <col min="6" max="22" width="7.28515625" style="431" customWidth="1"/>
    <col min="23" max="36" width="5.28515625" style="431" customWidth="1"/>
    <col min="37" max="16384" width="9.140625" style="431"/>
  </cols>
  <sheetData>
    <row r="1" spans="1:2" ht="18" x14ac:dyDescent="0.2">
      <c r="A1" s="646" t="s">
        <v>196</v>
      </c>
      <c r="B1" s="491"/>
    </row>
    <row r="3" spans="1:2" ht="15" customHeight="1" x14ac:dyDescent="0.2">
      <c r="A3" s="585" t="s">
        <v>197</v>
      </c>
      <c r="B3" s="585" t="s">
        <v>198</v>
      </c>
    </row>
    <row r="4" spans="1:2" ht="25.5" x14ac:dyDescent="0.2">
      <c r="A4" s="538" t="s">
        <v>199</v>
      </c>
      <c r="B4" s="644" t="str">
        <f>IF('Naudas plūsma'!B26:AH26&gt;=0,"Kritērijs izpildās","Kritērijs neizpildās")</f>
        <v>Kritērijs izpildās</v>
      </c>
    </row>
    <row r="5" spans="1:2" ht="25.5" x14ac:dyDescent="0.2">
      <c r="A5" s="538" t="s">
        <v>201</v>
      </c>
      <c r="B5" s="644" t="str">
        <f>IF('Ilgtermina saistibas'!B14:AG14&lt;20%,"Kritērijs izpildās","Kritērijs neizpildās")</f>
        <v>Kritērijs izpildās</v>
      </c>
    </row>
    <row r="6" spans="1:2" ht="38.25" x14ac:dyDescent="0.2">
      <c r="A6" s="538" t="s">
        <v>202</v>
      </c>
      <c r="B6" s="644" t="str">
        <f>IF('Iedzivotaju maksatspeja'!B15:AH15&lt;=4%,"Kritērijs izpildās","Kritērijs neizpildās")</f>
        <v>Kritērijs izpildās</v>
      </c>
    </row>
    <row r="7" spans="1:2" ht="25.5" x14ac:dyDescent="0.2">
      <c r="A7" s="538" t="s">
        <v>203</v>
      </c>
      <c r="B7" s="539">
        <f>ROUND((SUM('Datu ievade'!B101:H101)+SUM('Datu ievade'!B115:H115))/Līdzfinansējums!C9,6)</f>
        <v>4.3300000000000001E-4</v>
      </c>
    </row>
    <row r="9" spans="1:2" x14ac:dyDescent="0.2">
      <c r="A9" s="585" t="s">
        <v>204</v>
      </c>
      <c r="B9" s="585" t="s">
        <v>205</v>
      </c>
    </row>
    <row r="10" spans="1:2" ht="38.25" x14ac:dyDescent="0.2">
      <c r="A10" s="538" t="s">
        <v>206</v>
      </c>
      <c r="B10" s="540">
        <f>(MAX('Iedzivotaju maksatspeja'!B15:AH15))</f>
        <v>1.5066439916961128E-2</v>
      </c>
    </row>
    <row r="11" spans="1:2" ht="42" customHeight="1" x14ac:dyDescent="0.2">
      <c r="A11" s="538" t="s">
        <v>207</v>
      </c>
      <c r="B11" s="540">
        <f>MIN('Iedzivotaju maksatspeja'!B15:AH15)</f>
        <v>1.2367325804563786E-2</v>
      </c>
    </row>
    <row r="12" spans="1:2" ht="25.5" x14ac:dyDescent="0.2">
      <c r="A12" s="538" t="s">
        <v>208</v>
      </c>
      <c r="B12" s="541">
        <f>ROUND((SUM('Saimnieciskas pamatdarbibas NP'!B116:AH116)/(Aprēķini!AH38+Aprēķini!AH43+Aprēķini!AH50)),2)</f>
        <v>1</v>
      </c>
    </row>
    <row r="13" spans="1:2" ht="25.5" x14ac:dyDescent="0.2">
      <c r="A13" s="538" t="s">
        <v>209</v>
      </c>
      <c r="B13" s="541">
        <f>ROUND((SUM('Saimnieciskas pamatdarbibas NP'!B135:AH135))/(Aprēķini!AH59+Aprēķini!AH65+Aprēķini!AH71),2)</f>
        <v>0.56999999999999995</v>
      </c>
    </row>
  </sheetData>
  <phoneticPr fontId="2" type="noConversion"/>
  <pageMargins left="0.7" right="0.7" top="0.75" bottom="0.75" header="0.3" footer="0.3"/>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1"/>
  <sheetViews>
    <sheetView showGridLines="0" workbookViewId="0">
      <selection activeCell="H20" sqref="H20"/>
    </sheetView>
  </sheetViews>
  <sheetFormatPr defaultRowHeight="11.25" x14ac:dyDescent="0.2"/>
  <cols>
    <col min="1" max="1" width="1.140625" customWidth="1"/>
    <col min="2" max="2" width="64.42578125" customWidth="1"/>
    <col min="3" max="3" width="1.5703125" customWidth="1"/>
    <col min="4" max="4" width="5.5703125" customWidth="1"/>
    <col min="5" max="6" width="16" customWidth="1"/>
  </cols>
  <sheetData>
    <row r="1" spans="2:6" ht="22.5" x14ac:dyDescent="0.2">
      <c r="B1" s="763" t="s">
        <v>634</v>
      </c>
      <c r="C1" s="763"/>
      <c r="D1" s="769"/>
      <c r="E1" s="769"/>
      <c r="F1" s="769"/>
    </row>
    <row r="2" spans="2:6" x14ac:dyDescent="0.2">
      <c r="B2" s="763" t="s">
        <v>635</v>
      </c>
      <c r="C2" s="763"/>
      <c r="D2" s="769"/>
      <c r="E2" s="769"/>
      <c r="F2" s="769"/>
    </row>
    <row r="3" spans="2:6" x14ac:dyDescent="0.2">
      <c r="B3" s="764"/>
      <c r="C3" s="764"/>
      <c r="D3" s="770"/>
      <c r="E3" s="770"/>
      <c r="F3" s="770"/>
    </row>
    <row r="4" spans="2:6" ht="33.75" x14ac:dyDescent="0.2">
      <c r="B4" s="764" t="s">
        <v>636</v>
      </c>
      <c r="C4" s="764"/>
      <c r="D4" s="770"/>
      <c r="E4" s="770"/>
      <c r="F4" s="770"/>
    </row>
    <row r="5" spans="2:6" x14ac:dyDescent="0.2">
      <c r="B5" s="764"/>
      <c r="C5" s="764"/>
      <c r="D5" s="770"/>
      <c r="E5" s="770"/>
      <c r="F5" s="770"/>
    </row>
    <row r="6" spans="2:6" x14ac:dyDescent="0.2">
      <c r="B6" s="763" t="s">
        <v>637</v>
      </c>
      <c r="C6" s="763"/>
      <c r="D6" s="769"/>
      <c r="E6" s="769" t="s">
        <v>638</v>
      </c>
      <c r="F6" s="769" t="s">
        <v>639</v>
      </c>
    </row>
    <row r="7" spans="2:6" ht="12" thickBot="1" x14ac:dyDescent="0.25">
      <c r="B7" s="764"/>
      <c r="C7" s="764"/>
      <c r="D7" s="770"/>
      <c r="E7" s="770"/>
      <c r="F7" s="770"/>
    </row>
    <row r="8" spans="2:6" ht="33.75" x14ac:dyDescent="0.2">
      <c r="B8" s="765" t="s">
        <v>640</v>
      </c>
      <c r="C8" s="766"/>
      <c r="D8" s="771"/>
      <c r="E8" s="771">
        <v>4</v>
      </c>
      <c r="F8" s="772"/>
    </row>
    <row r="9" spans="2:6" ht="26.25" thickBot="1" x14ac:dyDescent="0.25">
      <c r="B9" s="767"/>
      <c r="C9" s="768"/>
      <c r="D9" s="773"/>
      <c r="E9" s="774" t="s">
        <v>641</v>
      </c>
      <c r="F9" s="775" t="s">
        <v>642</v>
      </c>
    </row>
    <row r="10" spans="2:6" x14ac:dyDescent="0.2">
      <c r="B10" s="764"/>
      <c r="C10" s="764"/>
      <c r="D10" s="770"/>
      <c r="E10" s="770"/>
      <c r="F10" s="770"/>
    </row>
    <row r="11" spans="2:6" x14ac:dyDescent="0.2">
      <c r="B11" s="764"/>
      <c r="C11" s="764"/>
      <c r="D11" s="770"/>
      <c r="E11" s="770"/>
      <c r="F11" s="770"/>
    </row>
  </sheetData>
  <hyperlinks>
    <hyperlink ref="E9" location="'Aprēķini'!F160:I160" display="'Aprēķini'!F160:I16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76"/>
  <sheetViews>
    <sheetView topLeftCell="A43" workbookViewId="0">
      <selection activeCell="F74" sqref="A1:IV65536"/>
    </sheetView>
  </sheetViews>
  <sheetFormatPr defaultRowHeight="11.25" x14ac:dyDescent="0.2"/>
  <cols>
    <col min="1" max="1" width="2.28515625" style="13" customWidth="1"/>
    <col min="2" max="2" width="37" style="13" customWidth="1"/>
    <col min="3" max="3" width="6.5703125" style="13" customWidth="1"/>
    <col min="4" max="4" width="9.140625" style="13"/>
    <col min="5" max="5" width="10.140625" style="13" customWidth="1"/>
    <col min="6" max="30" width="10" style="13" customWidth="1"/>
    <col min="31" max="35" width="6.140625" style="13" customWidth="1"/>
    <col min="36" max="16384" width="9.140625" style="13"/>
  </cols>
  <sheetData>
    <row r="2" spans="2:37" x14ac:dyDescent="0.2">
      <c r="C2" s="13">
        <f>'Datu ievade'!B15</f>
        <v>2017</v>
      </c>
      <c r="D2" s="13">
        <f>C2+1</f>
        <v>2018</v>
      </c>
      <c r="E2" s="13">
        <f>D2+1</f>
        <v>2019</v>
      </c>
      <c r="F2" s="13">
        <f t="shared" ref="F2:AI2" si="0">E2+1</f>
        <v>2020</v>
      </c>
      <c r="G2" s="13">
        <f t="shared" si="0"/>
        <v>2021</v>
      </c>
      <c r="H2" s="13">
        <f t="shared" si="0"/>
        <v>2022</v>
      </c>
      <c r="I2" s="13">
        <f t="shared" si="0"/>
        <v>2023</v>
      </c>
      <c r="J2" s="13">
        <f t="shared" si="0"/>
        <v>2024</v>
      </c>
      <c r="K2" s="13">
        <f t="shared" si="0"/>
        <v>2025</v>
      </c>
      <c r="L2" s="13">
        <f t="shared" si="0"/>
        <v>2026</v>
      </c>
      <c r="M2" s="13">
        <f t="shared" si="0"/>
        <v>2027</v>
      </c>
      <c r="N2" s="13">
        <f t="shared" si="0"/>
        <v>2028</v>
      </c>
      <c r="O2" s="13">
        <f t="shared" si="0"/>
        <v>2029</v>
      </c>
      <c r="P2" s="13">
        <f t="shared" si="0"/>
        <v>2030</v>
      </c>
      <c r="Q2" s="13">
        <f t="shared" si="0"/>
        <v>2031</v>
      </c>
      <c r="R2" s="13">
        <f t="shared" si="0"/>
        <v>2032</v>
      </c>
      <c r="S2" s="13">
        <f t="shared" si="0"/>
        <v>2033</v>
      </c>
      <c r="T2" s="13">
        <f t="shared" si="0"/>
        <v>2034</v>
      </c>
      <c r="U2" s="13">
        <f t="shared" si="0"/>
        <v>2035</v>
      </c>
      <c r="V2" s="13">
        <f t="shared" si="0"/>
        <v>2036</v>
      </c>
      <c r="W2" s="13">
        <f t="shared" si="0"/>
        <v>2037</v>
      </c>
      <c r="X2" s="13">
        <f t="shared" si="0"/>
        <v>2038</v>
      </c>
      <c r="Y2" s="13">
        <f t="shared" si="0"/>
        <v>2039</v>
      </c>
      <c r="Z2" s="13">
        <f t="shared" si="0"/>
        <v>2040</v>
      </c>
      <c r="AA2" s="13">
        <f t="shared" si="0"/>
        <v>2041</v>
      </c>
      <c r="AB2" s="13">
        <f t="shared" si="0"/>
        <v>2042</v>
      </c>
      <c r="AC2" s="13">
        <f t="shared" si="0"/>
        <v>2043</v>
      </c>
      <c r="AD2" s="13">
        <f t="shared" si="0"/>
        <v>2044</v>
      </c>
      <c r="AE2" s="13">
        <f t="shared" si="0"/>
        <v>2045</v>
      </c>
      <c r="AF2" s="13">
        <f t="shared" si="0"/>
        <v>2046</v>
      </c>
      <c r="AG2" s="13">
        <f t="shared" si="0"/>
        <v>2047</v>
      </c>
      <c r="AH2" s="13">
        <f t="shared" si="0"/>
        <v>2048</v>
      </c>
      <c r="AI2" s="13">
        <f t="shared" si="0"/>
        <v>2049</v>
      </c>
      <c r="AJ2" s="13">
        <f>AI2+1</f>
        <v>2050</v>
      </c>
      <c r="AK2" s="13">
        <f>AJ2+1</f>
        <v>2051</v>
      </c>
    </row>
    <row r="3" spans="2:37" x14ac:dyDescent="0.2">
      <c r="B3" s="13" t="s">
        <v>350</v>
      </c>
      <c r="C3" s="13">
        <f>IF(C2&lt;'Datu ievade'!$B$17,1,0)</f>
        <v>1</v>
      </c>
      <c r="D3" s="13">
        <f>IF(D2&lt;'Datu ievade'!$B$17,1,0)</f>
        <v>1</v>
      </c>
      <c r="E3" s="13">
        <f>IF(E2&lt;'Datu ievade'!$B$17,1,0)</f>
        <v>0</v>
      </c>
      <c r="F3" s="13">
        <f>IF(F2&lt;'Datu ievade'!$B$17,1,0)</f>
        <v>0</v>
      </c>
      <c r="G3" s="13">
        <f>IF(G2&lt;'Datu ievade'!$B$17,1,0)</f>
        <v>0</v>
      </c>
      <c r="H3" s="13">
        <f>IF(H2&lt;'Datu ievade'!$B$17,1,0)</f>
        <v>0</v>
      </c>
      <c r="I3" s="13">
        <f>IF(I2&lt;'Datu ievade'!$B$17,1,0)</f>
        <v>0</v>
      </c>
      <c r="J3" s="13">
        <f>IF(J2&lt;'Datu ievade'!$B$17,1,0)</f>
        <v>0</v>
      </c>
      <c r="K3" s="13">
        <f>IF(K2&lt;'Datu ievade'!$B$17,1,0)</f>
        <v>0</v>
      </c>
      <c r="L3" s="13">
        <f>IF(L2&lt;'Datu ievade'!$B$17,1,0)</f>
        <v>0</v>
      </c>
      <c r="M3" s="13">
        <f>IF(M2&lt;'Datu ievade'!$B$17,1,0)</f>
        <v>0</v>
      </c>
      <c r="N3" s="13">
        <f>IF(N2&lt;'Datu ievade'!$B$17,1,0)</f>
        <v>0</v>
      </c>
      <c r="O3" s="13">
        <f>IF(O2&lt;'Datu ievade'!$B$17,1,0)</f>
        <v>0</v>
      </c>
      <c r="P3" s="13">
        <f>IF(P2&lt;'Datu ievade'!$B$17,1,0)</f>
        <v>0</v>
      </c>
      <c r="Q3" s="13">
        <f>IF(Q2&lt;'Datu ievade'!$B$17,1,0)</f>
        <v>0</v>
      </c>
      <c r="R3" s="13">
        <f>IF(R2&lt;'Datu ievade'!$B$17,1,0)</f>
        <v>0</v>
      </c>
      <c r="S3" s="13">
        <f>IF(S2&lt;'Datu ievade'!$B$17,1,0)</f>
        <v>0</v>
      </c>
      <c r="T3" s="13">
        <f>IF(T2&lt;'Datu ievade'!$B$17,1,0)</f>
        <v>0</v>
      </c>
      <c r="U3" s="13">
        <f>IF(U2&lt;'Datu ievade'!$B$17,1,0)</f>
        <v>0</v>
      </c>
      <c r="V3" s="13">
        <f>IF(V2&lt;'Datu ievade'!$B$17,1,0)</f>
        <v>0</v>
      </c>
      <c r="W3" s="13">
        <f>IF(W2&lt;'Datu ievade'!$B$17,1,0)</f>
        <v>0</v>
      </c>
      <c r="X3" s="13">
        <f>IF(X2&lt;'Datu ievade'!$B$17,1,0)</f>
        <v>0</v>
      </c>
      <c r="Y3" s="13">
        <f>IF(Y2&lt;'Datu ievade'!$B$17,1,0)</f>
        <v>0</v>
      </c>
      <c r="Z3" s="13">
        <f>IF(Z2&lt;'Datu ievade'!$B$17,1,0)</f>
        <v>0</v>
      </c>
      <c r="AA3" s="13">
        <f>IF(AA2&lt;'Datu ievade'!$B$17,1,0)</f>
        <v>0</v>
      </c>
      <c r="AB3" s="13">
        <f>IF(AB2&lt;'Datu ievade'!$B$17,1,0)</f>
        <v>0</v>
      </c>
      <c r="AC3" s="13">
        <f>IF(AC2&lt;'Datu ievade'!$B$17,1,0)</f>
        <v>0</v>
      </c>
      <c r="AD3" s="13">
        <f>IF(AD2&lt;'Datu ievade'!$B$17,1,0)</f>
        <v>0</v>
      </c>
      <c r="AE3" s="13">
        <f>IF(AE2&lt;'Datu ievade'!$B$17,1,0)</f>
        <v>0</v>
      </c>
      <c r="AF3" s="13">
        <f>IF(AF2&lt;'Datu ievade'!$B$17,1,0)</f>
        <v>0</v>
      </c>
      <c r="AG3" s="13">
        <f>IF(AG2&lt;'Datu ievade'!$B$17,1,0)</f>
        <v>0</v>
      </c>
      <c r="AH3" s="13">
        <f>IF(AH2&lt;'Datu ievade'!$B$17,1,0)</f>
        <v>0</v>
      </c>
      <c r="AI3" s="13">
        <f>IF(AI2&lt;'Datu ievade'!$B$17,1,0)</f>
        <v>0</v>
      </c>
      <c r="AJ3" s="13">
        <f>IF(AJ2&lt;'Datu ievade'!$B$17,1,0)</f>
        <v>0</v>
      </c>
      <c r="AK3" s="13">
        <f>IF(AK2&lt;'Datu ievade'!$B$17,1,0)</f>
        <v>0</v>
      </c>
    </row>
    <row r="4" spans="2:37" x14ac:dyDescent="0.2">
      <c r="B4" s="13" t="s">
        <v>351</v>
      </c>
      <c r="C4" s="13">
        <f>IF(C2&gt;'Datu ievade'!$B$17-1,1,0)</f>
        <v>0</v>
      </c>
      <c r="D4" s="13">
        <f>IF(D2&gt;'Datu ievade'!$B$17-1,1,0)</f>
        <v>0</v>
      </c>
      <c r="E4" s="13">
        <f>IF(E2&gt;'Datu ievade'!$B$17-1,1,0)</f>
        <v>1</v>
      </c>
      <c r="F4" s="13">
        <f>IF(F2&gt;'Datu ievade'!$B$17-1,1,0)</f>
        <v>1</v>
      </c>
      <c r="G4" s="13">
        <f>IF(G2&gt;'Datu ievade'!$B$17-1,1,0)</f>
        <v>1</v>
      </c>
      <c r="H4" s="13">
        <f>IF(H2&gt;'Datu ievade'!$B$17-1,1,0)</f>
        <v>1</v>
      </c>
      <c r="I4" s="13">
        <f>IF(I2&gt;'Datu ievade'!$B$17-1,1,0)</f>
        <v>1</v>
      </c>
      <c r="J4" s="13">
        <f>IF(J2&gt;'Datu ievade'!$B$17-1,1,0)</f>
        <v>1</v>
      </c>
      <c r="K4" s="13">
        <f>IF(K2&gt;'Datu ievade'!$B$17-1,1,0)</f>
        <v>1</v>
      </c>
      <c r="L4" s="13">
        <f>IF(L2&gt;'Datu ievade'!$B$17-1,1,0)</f>
        <v>1</v>
      </c>
      <c r="M4" s="13">
        <f>IF(M2&gt;'Datu ievade'!$B$17-1,1,0)</f>
        <v>1</v>
      </c>
      <c r="N4" s="13">
        <f>IF(N2&gt;'Datu ievade'!$B$17-1,1,0)</f>
        <v>1</v>
      </c>
      <c r="O4" s="13">
        <f>IF(O2&gt;'Datu ievade'!$B$17-1,1,0)</f>
        <v>1</v>
      </c>
      <c r="P4" s="13">
        <f>IF(P2&gt;'Datu ievade'!$B$17-1,1,0)</f>
        <v>1</v>
      </c>
      <c r="Q4" s="13">
        <f>IF(Q2&gt;'Datu ievade'!$B$17-1,1,0)</f>
        <v>1</v>
      </c>
      <c r="R4" s="13">
        <f>IF(R2&gt;'Datu ievade'!$B$17-1,1,0)</f>
        <v>1</v>
      </c>
      <c r="S4" s="13">
        <f>IF(S2&gt;'Datu ievade'!$B$17-1,1,0)</f>
        <v>1</v>
      </c>
      <c r="T4" s="13">
        <f>IF(T2&gt;'Datu ievade'!$B$17-1,1,0)</f>
        <v>1</v>
      </c>
      <c r="U4" s="13">
        <f>IF(U2&gt;'Datu ievade'!$B$17-1,1,0)</f>
        <v>1</v>
      </c>
      <c r="V4" s="13">
        <f>IF(V2&gt;'Datu ievade'!$B$17-1,1,0)</f>
        <v>1</v>
      </c>
      <c r="W4" s="13">
        <f>IF(W2&gt;'Datu ievade'!$B$17-1,1,0)</f>
        <v>1</v>
      </c>
      <c r="X4" s="13">
        <f>IF(X2&gt;'Datu ievade'!$B$17-1,1,0)</f>
        <v>1</v>
      </c>
      <c r="Y4" s="13">
        <f>IF(Y2&gt;'Datu ievade'!$B$17-1,1,0)</f>
        <v>1</v>
      </c>
      <c r="Z4" s="13">
        <f>IF(Z2&gt;'Datu ievade'!$B$17-1,1,0)</f>
        <v>1</v>
      </c>
      <c r="AA4" s="13">
        <f>IF(AA2&gt;'Datu ievade'!$B$17-1,1,0)</f>
        <v>1</v>
      </c>
      <c r="AB4" s="13">
        <f>IF(AB2&gt;'Datu ievade'!$B$17-1,1,0)</f>
        <v>1</v>
      </c>
      <c r="AC4" s="13">
        <f>IF(AC2&gt;'Datu ievade'!$B$17-1,1,0)</f>
        <v>1</v>
      </c>
      <c r="AD4" s="13">
        <f>IF(AD2&gt;'Datu ievade'!$B$17-1,1,0)</f>
        <v>1</v>
      </c>
      <c r="AE4" s="13">
        <f>IF(AE2&gt;'Datu ievade'!$B$17-1,1,0)</f>
        <v>1</v>
      </c>
      <c r="AF4" s="13">
        <f>IF(AF2&gt;'Datu ievade'!$B$17-1,1,0)</f>
        <v>1</v>
      </c>
      <c r="AG4" s="13">
        <f>IF(AG2&gt;'Datu ievade'!$B$17-1,1,0)</f>
        <v>1</v>
      </c>
      <c r="AH4" s="13">
        <f>IF(AH2&gt;'Datu ievade'!$B$17-1,1,0)</f>
        <v>1</v>
      </c>
      <c r="AI4" s="13">
        <f>IF(AI2&gt;'Datu ievade'!$B$17-1,1,0)</f>
        <v>1</v>
      </c>
      <c r="AJ4" s="13">
        <f>IF(AJ2&gt;'Datu ievade'!$B$17-1,1,0)</f>
        <v>1</v>
      </c>
      <c r="AK4" s="13">
        <f>IF(AK2&gt;'Datu ievade'!$B$17-1,1,0)</f>
        <v>1</v>
      </c>
    </row>
    <row r="6" spans="2:37" s="11" customFormat="1" x14ac:dyDescent="0.2">
      <c r="B6" s="7" t="s">
        <v>261</v>
      </c>
      <c r="C6" s="12">
        <f>'Datu ievade'!B80</f>
        <v>9310</v>
      </c>
      <c r="D6" s="12">
        <f>'Datu ievade'!B94</f>
        <v>9324</v>
      </c>
      <c r="E6" s="12">
        <f>'Datu ievade'!C94</f>
        <v>9352</v>
      </c>
      <c r="F6" s="12">
        <f>'Datu ievade'!D94</f>
        <v>9408</v>
      </c>
      <c r="G6" s="12">
        <f>'Datu ievade'!E94</f>
        <v>9446</v>
      </c>
      <c r="H6" s="12">
        <f>'Datu ievade'!F94</f>
        <v>9484</v>
      </c>
      <c r="I6" s="12">
        <f>'Datu ievade'!G94</f>
        <v>9484</v>
      </c>
      <c r="J6" s="12">
        <f>'Datu ievade'!H94</f>
        <v>9484</v>
      </c>
      <c r="K6" s="12">
        <f>J6</f>
        <v>9484</v>
      </c>
      <c r="L6" s="12">
        <f t="shared" ref="L6:AK6" si="1">K6</f>
        <v>9484</v>
      </c>
      <c r="M6" s="12">
        <f t="shared" si="1"/>
        <v>9484</v>
      </c>
      <c r="N6" s="12">
        <f t="shared" si="1"/>
        <v>9484</v>
      </c>
      <c r="O6" s="12">
        <f t="shared" si="1"/>
        <v>9484</v>
      </c>
      <c r="P6" s="12">
        <f t="shared" si="1"/>
        <v>9484</v>
      </c>
      <c r="Q6" s="12">
        <f t="shared" si="1"/>
        <v>9484</v>
      </c>
      <c r="R6" s="12">
        <f t="shared" si="1"/>
        <v>9484</v>
      </c>
      <c r="S6" s="12">
        <f t="shared" si="1"/>
        <v>9484</v>
      </c>
      <c r="T6" s="12">
        <f t="shared" si="1"/>
        <v>9484</v>
      </c>
      <c r="U6" s="12">
        <f t="shared" si="1"/>
        <v>9484</v>
      </c>
      <c r="V6" s="12">
        <f t="shared" si="1"/>
        <v>9484</v>
      </c>
      <c r="W6" s="12">
        <f t="shared" si="1"/>
        <v>9484</v>
      </c>
      <c r="X6" s="12">
        <f t="shared" si="1"/>
        <v>9484</v>
      </c>
      <c r="Y6" s="12">
        <f t="shared" si="1"/>
        <v>9484</v>
      </c>
      <c r="Z6" s="12">
        <f t="shared" si="1"/>
        <v>9484</v>
      </c>
      <c r="AA6" s="12">
        <f t="shared" si="1"/>
        <v>9484</v>
      </c>
      <c r="AB6" s="12">
        <f t="shared" si="1"/>
        <v>9484</v>
      </c>
      <c r="AC6" s="12">
        <f t="shared" si="1"/>
        <v>9484</v>
      </c>
      <c r="AD6" s="12">
        <f t="shared" si="1"/>
        <v>9484</v>
      </c>
      <c r="AE6" s="12">
        <f t="shared" si="1"/>
        <v>9484</v>
      </c>
      <c r="AF6" s="12">
        <f t="shared" si="1"/>
        <v>9484</v>
      </c>
      <c r="AG6" s="12">
        <f t="shared" si="1"/>
        <v>9484</v>
      </c>
      <c r="AH6" s="12">
        <f t="shared" si="1"/>
        <v>9484</v>
      </c>
      <c r="AI6" s="12">
        <f t="shared" si="1"/>
        <v>9484</v>
      </c>
      <c r="AJ6" s="12">
        <f t="shared" si="1"/>
        <v>9484</v>
      </c>
      <c r="AK6" s="12">
        <f t="shared" si="1"/>
        <v>9484</v>
      </c>
    </row>
    <row r="7" spans="2:37" x14ac:dyDescent="0.2">
      <c r="B7" s="3" t="s">
        <v>262</v>
      </c>
      <c r="C7" s="14">
        <f>'Datu ievade'!B81</f>
        <v>66.599473242793877</v>
      </c>
      <c r="D7" s="14">
        <f>'Datu ievade'!B95</f>
        <v>66.599473242793877</v>
      </c>
      <c r="E7" s="14">
        <f>'Datu ievade'!C95</f>
        <v>66.599473242793877</v>
      </c>
      <c r="F7" s="14">
        <f>'Datu ievade'!D95</f>
        <v>66.599473242793877</v>
      </c>
      <c r="G7" s="14">
        <f>'Datu ievade'!E95</f>
        <v>66.599473242793877</v>
      </c>
      <c r="H7" s="14">
        <f>'Datu ievade'!F95</f>
        <v>66.599473242793877</v>
      </c>
      <c r="I7" s="14">
        <f>'Datu ievade'!G95</f>
        <v>66.599473242793877</v>
      </c>
      <c r="J7" s="14">
        <f>'Datu ievade'!H95</f>
        <v>66.599473242793877</v>
      </c>
      <c r="K7" s="13">
        <f>'Datu ievade'!$B81*'gadu šķirošana'!K$3+'Datu ievade'!$D95*'gadu šķirošana'!K$4</f>
        <v>66.599473242793877</v>
      </c>
      <c r="L7" s="13">
        <f>'Datu ievade'!$B81*'gadu šķirošana'!L$3+'Datu ievade'!$D95*'gadu šķirošana'!L$4</f>
        <v>66.599473242793877</v>
      </c>
      <c r="M7" s="13">
        <f>'Datu ievade'!$B81*'gadu šķirošana'!M$3+'Datu ievade'!$D95*'gadu šķirošana'!M$4</f>
        <v>66.599473242793877</v>
      </c>
      <c r="N7" s="13">
        <f>'Datu ievade'!$B81*'gadu šķirošana'!N$3+'Datu ievade'!$D95*'gadu šķirošana'!N$4</f>
        <v>66.599473242793877</v>
      </c>
      <c r="O7" s="13">
        <f>'Datu ievade'!$B81*'gadu šķirošana'!O$3+'Datu ievade'!$D95*'gadu šķirošana'!O$4</f>
        <v>66.599473242793877</v>
      </c>
      <c r="P7" s="13">
        <f>'Datu ievade'!$B81*'gadu šķirošana'!P$3+'Datu ievade'!$D95*'gadu šķirošana'!P$4</f>
        <v>66.599473242793877</v>
      </c>
      <c r="Q7" s="13">
        <f>'Datu ievade'!$B81*'gadu šķirošana'!Q$3+'Datu ievade'!$D95*'gadu šķirošana'!Q$4</f>
        <v>66.599473242793877</v>
      </c>
      <c r="R7" s="13">
        <f>'Datu ievade'!$B81*'gadu šķirošana'!R$3+'Datu ievade'!$D95*'gadu šķirošana'!R$4</f>
        <v>66.599473242793877</v>
      </c>
      <c r="S7" s="13">
        <f>'Datu ievade'!$B81*'gadu šķirošana'!S$3+'Datu ievade'!$D95*'gadu šķirošana'!S$4</f>
        <v>66.599473242793877</v>
      </c>
      <c r="T7" s="13">
        <f>'Datu ievade'!$B81*'gadu šķirošana'!T$3+'Datu ievade'!$D95*'gadu šķirošana'!T$4</f>
        <v>66.599473242793877</v>
      </c>
      <c r="U7" s="13">
        <f>'Datu ievade'!$B81*'gadu šķirošana'!U$3+'Datu ievade'!$D95*'gadu šķirošana'!U$4</f>
        <v>66.599473242793877</v>
      </c>
      <c r="V7" s="13">
        <f>'Datu ievade'!$B81*'gadu šķirošana'!V$3+'Datu ievade'!$D95*'gadu šķirošana'!V$4</f>
        <v>66.599473242793877</v>
      </c>
      <c r="W7" s="13">
        <f>'Datu ievade'!$B81*'gadu šķirošana'!W$3+'Datu ievade'!$D95*'gadu šķirošana'!W$4</f>
        <v>66.599473242793877</v>
      </c>
      <c r="X7" s="13">
        <f>'Datu ievade'!$B81*'gadu šķirošana'!X$3+'Datu ievade'!$D95*'gadu šķirošana'!X$4</f>
        <v>66.599473242793877</v>
      </c>
      <c r="Y7" s="13">
        <f>'Datu ievade'!$B81*'gadu šķirošana'!Y$3+'Datu ievade'!$D95*'gadu šķirošana'!Y$4</f>
        <v>66.599473242793877</v>
      </c>
      <c r="Z7" s="13">
        <f>'Datu ievade'!$B81*'gadu šķirošana'!Z$3+'Datu ievade'!$D95*'gadu šķirošana'!Z$4</f>
        <v>66.599473242793877</v>
      </c>
      <c r="AA7" s="13">
        <f>'Datu ievade'!$B81*'gadu šķirošana'!AA$3+'Datu ievade'!$D95*'gadu šķirošana'!AA$4</f>
        <v>66.599473242793877</v>
      </c>
      <c r="AB7" s="13">
        <f>'Datu ievade'!$B81*'gadu šķirošana'!AB$3+'Datu ievade'!$D95*'gadu šķirošana'!AB$4</f>
        <v>66.599473242793877</v>
      </c>
      <c r="AC7" s="13">
        <f>'Datu ievade'!$B81*'gadu šķirošana'!AC$3+'Datu ievade'!$D95*'gadu šķirošana'!AC$4</f>
        <v>66.599473242793877</v>
      </c>
      <c r="AD7" s="13">
        <f>'Datu ievade'!$B81*'gadu šķirošana'!AD$3+'Datu ievade'!$D95*'gadu šķirošana'!AD$4</f>
        <v>66.599473242793877</v>
      </c>
      <c r="AE7" s="13">
        <f>'Datu ievade'!$B81*'gadu šķirošana'!AE$3+'Datu ievade'!$D95*'gadu šķirošana'!AE$4</f>
        <v>66.599473242793877</v>
      </c>
      <c r="AF7" s="13">
        <f>'Datu ievade'!$B81*'gadu šķirošana'!AF$3+'Datu ievade'!$D95*'gadu šķirošana'!AF$4</f>
        <v>66.599473242793877</v>
      </c>
      <c r="AG7" s="13">
        <f>'Datu ievade'!$B81*'gadu šķirošana'!AG$3+'Datu ievade'!$D95*'gadu šķirošana'!AG$4</f>
        <v>66.599473242793877</v>
      </c>
      <c r="AH7" s="13">
        <f>'Datu ievade'!$B81*'gadu šķirošana'!AH$3+'Datu ievade'!$D95*'gadu šķirošana'!AH$4</f>
        <v>66.599473242793877</v>
      </c>
      <c r="AI7" s="13">
        <f>'Datu ievade'!$B81*'gadu šķirošana'!AI$3+'Datu ievade'!$D95*'gadu šķirošana'!AI$4</f>
        <v>66.599473242793877</v>
      </c>
      <c r="AJ7" s="13">
        <f>'Datu ievade'!$B81*'gadu šķirošana'!AJ$3+'Datu ievade'!$D95*'gadu šķirošana'!AJ$4</f>
        <v>66.599473242793877</v>
      </c>
      <c r="AK7" s="13">
        <f>'Datu ievade'!$B81*'gadu šķirošana'!AK$3+'Datu ievade'!$D95*'gadu šķirošana'!AK$4</f>
        <v>66.599473242793877</v>
      </c>
    </row>
    <row r="8" spans="2:37" x14ac:dyDescent="0.2">
      <c r="B8" s="3" t="s">
        <v>352</v>
      </c>
      <c r="C8" s="14">
        <f>'Datu ievade'!B82</f>
        <v>26144</v>
      </c>
      <c r="D8" s="14">
        <f>'Datu ievade'!B97</f>
        <v>26144</v>
      </c>
      <c r="E8" s="14">
        <f>'Datu ievade'!C97</f>
        <v>26144</v>
      </c>
      <c r="F8" s="14">
        <f>'Datu ievade'!D97</f>
        <v>26144</v>
      </c>
      <c r="G8" s="14">
        <f>'Datu ievade'!E97</f>
        <v>26144</v>
      </c>
      <c r="H8" s="14">
        <f>'Datu ievade'!F97</f>
        <v>26144</v>
      </c>
      <c r="I8" s="14">
        <f>'Datu ievade'!G97</f>
        <v>26144</v>
      </c>
      <c r="J8" s="14">
        <f>'Datu ievade'!H97</f>
        <v>26144</v>
      </c>
      <c r="K8" s="13">
        <f>'Datu ievade'!$B82*'gadu šķirošana'!K$3+'Datu ievade'!$D97*'gadu šķirošana'!K$4</f>
        <v>26144</v>
      </c>
      <c r="L8" s="13">
        <f>'Datu ievade'!$B82*'gadu šķirošana'!L$3+'Datu ievade'!$D97*'gadu šķirošana'!L$4</f>
        <v>26144</v>
      </c>
      <c r="M8" s="13">
        <f>'Datu ievade'!$B82*'gadu šķirošana'!M$3+'Datu ievade'!$D97*'gadu šķirošana'!M$4</f>
        <v>26144</v>
      </c>
      <c r="N8" s="13">
        <f>'Datu ievade'!$B82*'gadu šķirošana'!N$3+'Datu ievade'!$D97*'gadu šķirošana'!N$4</f>
        <v>26144</v>
      </c>
      <c r="O8" s="13">
        <f>'Datu ievade'!$B82*'gadu šķirošana'!O$3+'Datu ievade'!$D97*'gadu šķirošana'!O$4</f>
        <v>26144</v>
      </c>
      <c r="P8" s="13">
        <f>'Datu ievade'!$B82*'gadu šķirošana'!P$3+'Datu ievade'!$D97*'gadu šķirošana'!P$4</f>
        <v>26144</v>
      </c>
      <c r="Q8" s="13">
        <f>'Datu ievade'!$B82*'gadu šķirošana'!Q$3+'Datu ievade'!$D97*'gadu šķirošana'!Q$4</f>
        <v>26144</v>
      </c>
      <c r="R8" s="13">
        <f>'Datu ievade'!$B82*'gadu šķirošana'!R$3+'Datu ievade'!$D97*'gadu šķirošana'!R$4</f>
        <v>26144</v>
      </c>
      <c r="S8" s="13">
        <f>'Datu ievade'!$B82*'gadu šķirošana'!S$3+'Datu ievade'!$D97*'gadu šķirošana'!S$4</f>
        <v>26144</v>
      </c>
      <c r="T8" s="13">
        <f>'Datu ievade'!$B82*'gadu šķirošana'!T$3+'Datu ievade'!$D97*'gadu šķirošana'!T$4</f>
        <v>26144</v>
      </c>
      <c r="U8" s="13">
        <f>'Datu ievade'!$B82*'gadu šķirošana'!U$3+'Datu ievade'!$D97*'gadu šķirošana'!U$4</f>
        <v>26144</v>
      </c>
      <c r="V8" s="13">
        <f>'Datu ievade'!$B82*'gadu šķirošana'!V$3+'Datu ievade'!$D97*'gadu šķirošana'!V$4</f>
        <v>26144</v>
      </c>
      <c r="W8" s="13">
        <f>'Datu ievade'!$B82*'gadu šķirošana'!W$3+'Datu ievade'!$D97*'gadu šķirošana'!W$4</f>
        <v>26144</v>
      </c>
      <c r="X8" s="13">
        <f>'Datu ievade'!$B82*'gadu šķirošana'!X$3+'Datu ievade'!$D97*'gadu šķirošana'!X$4</f>
        <v>26144</v>
      </c>
      <c r="Y8" s="13">
        <f>'Datu ievade'!$B82*'gadu šķirošana'!Y$3+'Datu ievade'!$D97*'gadu šķirošana'!Y$4</f>
        <v>26144</v>
      </c>
      <c r="Z8" s="13">
        <f>'Datu ievade'!$B82*'gadu šķirošana'!Z$3+'Datu ievade'!$D97*'gadu šķirošana'!Z$4</f>
        <v>26144</v>
      </c>
      <c r="AA8" s="13">
        <f>'Datu ievade'!$B82*'gadu šķirošana'!AA$3+'Datu ievade'!$D97*'gadu šķirošana'!AA$4</f>
        <v>26144</v>
      </c>
      <c r="AB8" s="13">
        <f>'Datu ievade'!$B82*'gadu šķirošana'!AB$3+'Datu ievade'!$D97*'gadu šķirošana'!AB$4</f>
        <v>26144</v>
      </c>
      <c r="AC8" s="13">
        <f>'Datu ievade'!$B82*'gadu šķirošana'!AC$3+'Datu ievade'!$D97*'gadu šķirošana'!AC$4</f>
        <v>26144</v>
      </c>
      <c r="AD8" s="13">
        <f>'Datu ievade'!$B82*'gadu šķirošana'!AD$3+'Datu ievade'!$D97*'gadu šķirošana'!AD$4</f>
        <v>26144</v>
      </c>
      <c r="AE8" s="13">
        <f>'Datu ievade'!$B82*'gadu šķirošana'!AE$3+'Datu ievade'!$D97*'gadu šķirošana'!AE$4</f>
        <v>26144</v>
      </c>
      <c r="AF8" s="13">
        <f>'Datu ievade'!$B82*'gadu šķirošana'!AF$3+'Datu ievade'!$D97*'gadu šķirošana'!AF$4</f>
        <v>26144</v>
      </c>
      <c r="AG8" s="13">
        <f>'Datu ievade'!$B82*'gadu šķirošana'!AG$3+'Datu ievade'!$D97*'gadu šķirošana'!AG$4</f>
        <v>26144</v>
      </c>
      <c r="AH8" s="13">
        <f>'Datu ievade'!$B82*'gadu šķirošana'!AH$3+'Datu ievade'!$D97*'gadu šķirošana'!AH$4</f>
        <v>26144</v>
      </c>
      <c r="AI8" s="13">
        <f>'Datu ievade'!$B82*'gadu šķirošana'!AI$3+'Datu ievade'!$D97*'gadu šķirošana'!AI$4</f>
        <v>26144</v>
      </c>
      <c r="AJ8" s="13">
        <f>'Datu ievade'!$B82*'gadu šķirošana'!AJ$3+'Datu ievade'!$D97*'gadu šķirošana'!AJ$4</f>
        <v>26144</v>
      </c>
      <c r="AK8" s="13">
        <f>'Datu ievade'!$B82*'gadu šķirošana'!AK$3+'Datu ievade'!$D97*'gadu šķirošana'!AK$4</f>
        <v>26144</v>
      </c>
    </row>
    <row r="9" spans="2:37" x14ac:dyDescent="0.2">
      <c r="B9" s="3" t="s">
        <v>353</v>
      </c>
      <c r="C9" s="14">
        <f>'Datu ievade'!B83</f>
        <v>91735</v>
      </c>
      <c r="D9" s="14">
        <f>'Datu ievade'!B98</f>
        <v>91735</v>
      </c>
      <c r="E9" s="14">
        <f>'Datu ievade'!C98</f>
        <v>91735</v>
      </c>
      <c r="F9" s="14">
        <f>'Datu ievade'!D98</f>
        <v>91735</v>
      </c>
      <c r="G9" s="14">
        <f>'Datu ievade'!E98</f>
        <v>91735</v>
      </c>
      <c r="H9" s="14">
        <f>'Datu ievade'!F98</f>
        <v>91735</v>
      </c>
      <c r="I9" s="14">
        <f>'Datu ievade'!G98</f>
        <v>91735</v>
      </c>
      <c r="J9" s="14">
        <f>'Datu ievade'!H98</f>
        <v>91735</v>
      </c>
      <c r="K9" s="13">
        <f>'Datu ievade'!$B83*'gadu šķirošana'!K$3+'Datu ievade'!$D98*'gadu šķirošana'!K$4</f>
        <v>91735</v>
      </c>
      <c r="L9" s="13">
        <f>'Datu ievade'!$B83*'gadu šķirošana'!L$3+'Datu ievade'!$D98*'gadu šķirošana'!L$4</f>
        <v>91735</v>
      </c>
      <c r="M9" s="13">
        <f>'Datu ievade'!$B83*'gadu šķirošana'!M$3+'Datu ievade'!$D98*'gadu šķirošana'!M$4</f>
        <v>91735</v>
      </c>
      <c r="N9" s="13">
        <f>'Datu ievade'!$B83*'gadu šķirošana'!N$3+'Datu ievade'!$D98*'gadu šķirošana'!N$4</f>
        <v>91735</v>
      </c>
      <c r="O9" s="13">
        <f>'Datu ievade'!$B83*'gadu šķirošana'!O$3+'Datu ievade'!$D98*'gadu šķirošana'!O$4</f>
        <v>91735</v>
      </c>
      <c r="P9" s="13">
        <f>'Datu ievade'!$B83*'gadu šķirošana'!P$3+'Datu ievade'!$D98*'gadu šķirošana'!P$4</f>
        <v>91735</v>
      </c>
      <c r="Q9" s="13">
        <f>'Datu ievade'!$B83*'gadu šķirošana'!Q$3+'Datu ievade'!$D98*'gadu šķirošana'!Q$4</f>
        <v>91735</v>
      </c>
      <c r="R9" s="13">
        <f>'Datu ievade'!$B83*'gadu šķirošana'!R$3+'Datu ievade'!$D98*'gadu šķirošana'!R$4</f>
        <v>91735</v>
      </c>
      <c r="S9" s="13">
        <f>'Datu ievade'!$B83*'gadu šķirošana'!S$3+'Datu ievade'!$D98*'gadu šķirošana'!S$4</f>
        <v>91735</v>
      </c>
      <c r="T9" s="13">
        <f>'Datu ievade'!$B83*'gadu šķirošana'!T$3+'Datu ievade'!$D98*'gadu šķirošana'!T$4</f>
        <v>91735</v>
      </c>
      <c r="U9" s="13">
        <f>'Datu ievade'!$B83*'gadu šķirošana'!U$3+'Datu ievade'!$D98*'gadu šķirošana'!U$4</f>
        <v>91735</v>
      </c>
      <c r="V9" s="13">
        <f>'Datu ievade'!$B83*'gadu šķirošana'!V$3+'Datu ievade'!$D98*'gadu šķirošana'!V$4</f>
        <v>91735</v>
      </c>
      <c r="W9" s="13">
        <f>'Datu ievade'!$B83*'gadu šķirošana'!W$3+'Datu ievade'!$D98*'gadu šķirošana'!W$4</f>
        <v>91735</v>
      </c>
      <c r="X9" s="13">
        <f>'Datu ievade'!$B83*'gadu šķirošana'!X$3+'Datu ievade'!$D98*'gadu šķirošana'!X$4</f>
        <v>91735</v>
      </c>
      <c r="Y9" s="13">
        <f>'Datu ievade'!$B83*'gadu šķirošana'!Y$3+'Datu ievade'!$D98*'gadu šķirošana'!Y$4</f>
        <v>91735</v>
      </c>
      <c r="Z9" s="13">
        <f>'Datu ievade'!$B83*'gadu šķirošana'!Z$3+'Datu ievade'!$D98*'gadu šķirošana'!Z$4</f>
        <v>91735</v>
      </c>
      <c r="AA9" s="13">
        <f>'Datu ievade'!$B83*'gadu šķirošana'!AA$3+'Datu ievade'!$D98*'gadu šķirošana'!AA$4</f>
        <v>91735</v>
      </c>
      <c r="AB9" s="13">
        <f>'Datu ievade'!$B83*'gadu šķirošana'!AB$3+'Datu ievade'!$D98*'gadu šķirošana'!AB$4</f>
        <v>91735</v>
      </c>
      <c r="AC9" s="13">
        <f>'Datu ievade'!$B83*'gadu šķirošana'!AC$3+'Datu ievade'!$D98*'gadu šķirošana'!AC$4</f>
        <v>91735</v>
      </c>
      <c r="AD9" s="13">
        <f>'Datu ievade'!$B83*'gadu šķirošana'!AD$3+'Datu ievade'!$D98*'gadu šķirošana'!AD$4</f>
        <v>91735</v>
      </c>
      <c r="AE9" s="13">
        <f>'Datu ievade'!$B83*'gadu šķirošana'!AE$3+'Datu ievade'!$D98*'gadu šķirošana'!AE$4</f>
        <v>91735</v>
      </c>
      <c r="AF9" s="13">
        <f>'Datu ievade'!$B83*'gadu šķirošana'!AF$3+'Datu ievade'!$D98*'gadu šķirošana'!AF$4</f>
        <v>91735</v>
      </c>
      <c r="AG9" s="13">
        <f>'Datu ievade'!$B83*'gadu šķirošana'!AG$3+'Datu ievade'!$D98*'gadu šķirošana'!AG$4</f>
        <v>91735</v>
      </c>
      <c r="AH9" s="13">
        <f>'Datu ievade'!$B83*'gadu šķirošana'!AH$3+'Datu ievade'!$D98*'gadu šķirošana'!AH$4</f>
        <v>91735</v>
      </c>
      <c r="AI9" s="13">
        <f>'Datu ievade'!$B83*'gadu šķirošana'!AI$3+'Datu ievade'!$D98*'gadu šķirošana'!AI$4</f>
        <v>91735</v>
      </c>
      <c r="AJ9" s="13">
        <f>'Datu ievade'!$B83*'gadu šķirošana'!AJ$3+'Datu ievade'!$D98*'gadu šķirošana'!AJ$4</f>
        <v>91735</v>
      </c>
      <c r="AK9" s="13">
        <f>'Datu ievade'!$B83*'gadu šķirošana'!AK$3+'Datu ievade'!$D98*'gadu šķirošana'!AK$4</f>
        <v>91735</v>
      </c>
    </row>
    <row r="10" spans="2:37" x14ac:dyDescent="0.2">
      <c r="B10" s="3"/>
      <c r="L10" s="14"/>
    </row>
    <row r="11" spans="2:37" x14ac:dyDescent="0.2">
      <c r="B11" s="3" t="s">
        <v>267</v>
      </c>
      <c r="C11" s="14">
        <f>'Datu ievade'!B86</f>
        <v>10457</v>
      </c>
      <c r="D11" s="14">
        <f>'Datu ievade'!B108</f>
        <v>10535</v>
      </c>
      <c r="E11" s="14">
        <f>'Datu ievade'!C108</f>
        <v>10653</v>
      </c>
      <c r="F11" s="14">
        <f>'Datu ievade'!D108</f>
        <v>10892</v>
      </c>
      <c r="G11" s="14">
        <f>'Datu ievade'!E108</f>
        <v>11131</v>
      </c>
      <c r="H11" s="14">
        <f>'Datu ievade'!F108</f>
        <v>11371</v>
      </c>
      <c r="I11" s="14">
        <f>'Datu ievade'!G108</f>
        <v>11371</v>
      </c>
      <c r="J11" s="14">
        <f>'Datu ievade'!H108</f>
        <v>11371</v>
      </c>
      <c r="K11" s="14">
        <f t="shared" ref="K11:L14" si="2">J11</f>
        <v>11371</v>
      </c>
      <c r="L11" s="14">
        <f t="shared" si="2"/>
        <v>11371</v>
      </c>
      <c r="M11" s="14">
        <f t="shared" ref="M11:AK11" si="3">L11</f>
        <v>11371</v>
      </c>
      <c r="N11" s="14">
        <f t="shared" si="3"/>
        <v>11371</v>
      </c>
      <c r="O11" s="14">
        <f t="shared" si="3"/>
        <v>11371</v>
      </c>
      <c r="P11" s="14">
        <f t="shared" si="3"/>
        <v>11371</v>
      </c>
      <c r="Q11" s="14">
        <f t="shared" si="3"/>
        <v>11371</v>
      </c>
      <c r="R11" s="14">
        <f t="shared" si="3"/>
        <v>11371</v>
      </c>
      <c r="S11" s="14">
        <f t="shared" si="3"/>
        <v>11371</v>
      </c>
      <c r="T11" s="14">
        <f t="shared" si="3"/>
        <v>11371</v>
      </c>
      <c r="U11" s="14">
        <f t="shared" si="3"/>
        <v>11371</v>
      </c>
      <c r="V11" s="14">
        <f t="shared" si="3"/>
        <v>11371</v>
      </c>
      <c r="W11" s="14">
        <f t="shared" si="3"/>
        <v>11371</v>
      </c>
      <c r="X11" s="14">
        <f t="shared" si="3"/>
        <v>11371</v>
      </c>
      <c r="Y11" s="14">
        <f t="shared" si="3"/>
        <v>11371</v>
      </c>
      <c r="Z11" s="14">
        <f t="shared" si="3"/>
        <v>11371</v>
      </c>
      <c r="AA11" s="14">
        <f t="shared" si="3"/>
        <v>11371</v>
      </c>
      <c r="AB11" s="14">
        <f t="shared" si="3"/>
        <v>11371</v>
      </c>
      <c r="AC11" s="14">
        <f t="shared" si="3"/>
        <v>11371</v>
      </c>
      <c r="AD11" s="14">
        <f t="shared" si="3"/>
        <v>11371</v>
      </c>
      <c r="AE11" s="14">
        <f t="shared" si="3"/>
        <v>11371</v>
      </c>
      <c r="AF11" s="14">
        <f t="shared" si="3"/>
        <v>11371</v>
      </c>
      <c r="AG11" s="14">
        <f t="shared" si="3"/>
        <v>11371</v>
      </c>
      <c r="AH11" s="14">
        <f t="shared" si="3"/>
        <v>11371</v>
      </c>
      <c r="AI11" s="14">
        <f t="shared" si="3"/>
        <v>11371</v>
      </c>
      <c r="AJ11" s="14">
        <f t="shared" si="3"/>
        <v>11371</v>
      </c>
      <c r="AK11" s="14">
        <f t="shared" si="3"/>
        <v>11371</v>
      </c>
    </row>
    <row r="12" spans="2:37" x14ac:dyDescent="0.2">
      <c r="B12" s="3" t="s">
        <v>268</v>
      </c>
      <c r="C12" s="14">
        <f>'Datu ievade'!B87</f>
        <v>59.83145589046336</v>
      </c>
      <c r="D12" s="14">
        <f>'Datu ievade'!B109</f>
        <v>59.83145589046336</v>
      </c>
      <c r="E12" s="14">
        <f>'Datu ievade'!C109</f>
        <v>59.83145589046336</v>
      </c>
      <c r="F12" s="14">
        <f>'Datu ievade'!D109</f>
        <v>59.83145589046336</v>
      </c>
      <c r="G12" s="14">
        <f>'Datu ievade'!E109</f>
        <v>59.83145589046336</v>
      </c>
      <c r="H12" s="14">
        <f>'Datu ievade'!F109</f>
        <v>59.83145589046336</v>
      </c>
      <c r="I12" s="14">
        <f>'Datu ievade'!G109</f>
        <v>59.83145589046336</v>
      </c>
      <c r="J12" s="14">
        <f>'Datu ievade'!H109</f>
        <v>59.83145589046336</v>
      </c>
      <c r="K12" s="14">
        <f t="shared" si="2"/>
        <v>59.83145589046336</v>
      </c>
      <c r="L12" s="14">
        <f t="shared" si="2"/>
        <v>59.83145589046336</v>
      </c>
      <c r="M12" s="13">
        <f>'Datu ievade'!$B87*'gadu šķirošana'!M$3+'Datu ievade'!$D109*'gadu šķirošana'!M$4</f>
        <v>59.83145589046336</v>
      </c>
      <c r="N12" s="13">
        <f>'Datu ievade'!$B87*'gadu šķirošana'!N$3+'Datu ievade'!$D109*'gadu šķirošana'!N$4</f>
        <v>59.83145589046336</v>
      </c>
      <c r="O12" s="13">
        <f>'Datu ievade'!$B87*'gadu šķirošana'!O$3+'Datu ievade'!$D109*'gadu šķirošana'!O$4</f>
        <v>59.83145589046336</v>
      </c>
      <c r="P12" s="13">
        <f>'Datu ievade'!$B87*'gadu šķirošana'!P$3+'Datu ievade'!$D109*'gadu šķirošana'!P$4</f>
        <v>59.83145589046336</v>
      </c>
      <c r="Q12" s="13">
        <f>'Datu ievade'!$B87*'gadu šķirošana'!Q$3+'Datu ievade'!$D109*'gadu šķirošana'!Q$4</f>
        <v>59.83145589046336</v>
      </c>
      <c r="R12" s="13">
        <f>'Datu ievade'!$B87*'gadu šķirošana'!R$3+'Datu ievade'!$D109*'gadu šķirošana'!R$4</f>
        <v>59.83145589046336</v>
      </c>
      <c r="S12" s="13">
        <f>'Datu ievade'!$B87*'gadu šķirošana'!S$3+'Datu ievade'!$D109*'gadu šķirošana'!S$4</f>
        <v>59.83145589046336</v>
      </c>
      <c r="T12" s="13">
        <f>'Datu ievade'!$B87*'gadu šķirošana'!T$3+'Datu ievade'!$D109*'gadu šķirošana'!T$4</f>
        <v>59.83145589046336</v>
      </c>
      <c r="U12" s="13">
        <f>'Datu ievade'!$B87*'gadu šķirošana'!U$3+'Datu ievade'!$D109*'gadu šķirošana'!U$4</f>
        <v>59.83145589046336</v>
      </c>
      <c r="V12" s="13">
        <f>'Datu ievade'!$B87*'gadu šķirošana'!V$3+'Datu ievade'!$D109*'gadu šķirošana'!V$4</f>
        <v>59.83145589046336</v>
      </c>
      <c r="W12" s="13">
        <f>'Datu ievade'!$B87*'gadu šķirošana'!W$3+'Datu ievade'!$D109*'gadu šķirošana'!W$4</f>
        <v>59.83145589046336</v>
      </c>
      <c r="X12" s="13">
        <f>'Datu ievade'!$B87*'gadu šķirošana'!X$3+'Datu ievade'!$D109*'gadu šķirošana'!X$4</f>
        <v>59.83145589046336</v>
      </c>
      <c r="Y12" s="13">
        <f>'Datu ievade'!$B87*'gadu šķirošana'!Y$3+'Datu ievade'!$D109*'gadu šķirošana'!Y$4</f>
        <v>59.83145589046336</v>
      </c>
      <c r="Z12" s="13">
        <f>'Datu ievade'!$B87*'gadu šķirošana'!Z$3+'Datu ievade'!$D109*'gadu šķirošana'!Z$4</f>
        <v>59.83145589046336</v>
      </c>
      <c r="AA12" s="13">
        <f>'Datu ievade'!$B87*'gadu šķirošana'!AA$3+'Datu ievade'!$D109*'gadu šķirošana'!AA$4</f>
        <v>59.83145589046336</v>
      </c>
      <c r="AB12" s="13">
        <f>'Datu ievade'!$B87*'gadu šķirošana'!AB$3+'Datu ievade'!$D109*'gadu šķirošana'!AB$4</f>
        <v>59.83145589046336</v>
      </c>
      <c r="AC12" s="13">
        <f>'Datu ievade'!$B87*'gadu šķirošana'!AC$3+'Datu ievade'!$D109*'gadu šķirošana'!AC$4</f>
        <v>59.83145589046336</v>
      </c>
      <c r="AD12" s="13">
        <f>'Datu ievade'!$B87*'gadu šķirošana'!AD$3+'Datu ievade'!$D109*'gadu šķirošana'!AD$4</f>
        <v>59.83145589046336</v>
      </c>
      <c r="AE12" s="13">
        <f>'Datu ievade'!$B87*'gadu šķirošana'!AE$3+'Datu ievade'!$D109*'gadu šķirošana'!AE$4</f>
        <v>59.83145589046336</v>
      </c>
      <c r="AF12" s="13">
        <f>'Datu ievade'!$B87*'gadu šķirošana'!AF$3+'Datu ievade'!$D109*'gadu šķirošana'!AF$4</f>
        <v>59.83145589046336</v>
      </c>
      <c r="AG12" s="13">
        <f>'Datu ievade'!$B87*'gadu šķirošana'!AG$3+'Datu ievade'!$D109*'gadu šķirošana'!AG$4</f>
        <v>59.83145589046336</v>
      </c>
      <c r="AH12" s="13">
        <f>'Datu ievade'!$B87*'gadu šķirošana'!AH$3+'Datu ievade'!$D109*'gadu šķirošana'!AH$4</f>
        <v>59.83145589046336</v>
      </c>
      <c r="AI12" s="13">
        <f>'Datu ievade'!$B87*'gadu šķirošana'!AI$3+'Datu ievade'!$D109*'gadu šķirošana'!AI$4</f>
        <v>59.83145589046336</v>
      </c>
      <c r="AJ12" s="13">
        <f>'Datu ievade'!$B87*'gadu šķirošana'!AJ$3+'Datu ievade'!$D109*'gadu šķirošana'!AJ$4</f>
        <v>59.83145589046336</v>
      </c>
      <c r="AK12" s="13">
        <f>'Datu ievade'!$B87*'gadu šķirošana'!AK$3+'Datu ievade'!$D109*'gadu šķirošana'!AK$4</f>
        <v>59.83145589046336</v>
      </c>
    </row>
    <row r="13" spans="2:37" x14ac:dyDescent="0.2">
      <c r="B13" s="3" t="s">
        <v>354</v>
      </c>
      <c r="C13" s="14">
        <f>'Datu ievade'!B88</f>
        <v>25184</v>
      </c>
      <c r="D13" s="14">
        <f>'Datu ievade'!B111</f>
        <v>25184</v>
      </c>
      <c r="E13" s="14">
        <f>'Datu ievade'!C111</f>
        <v>25184</v>
      </c>
      <c r="F13" s="14">
        <f>'Datu ievade'!D111</f>
        <v>25184</v>
      </c>
      <c r="G13" s="14">
        <f>'Datu ievade'!E111</f>
        <v>25184</v>
      </c>
      <c r="H13" s="14">
        <f>'Datu ievade'!F111</f>
        <v>25184</v>
      </c>
      <c r="I13" s="14">
        <f>'Datu ievade'!G111</f>
        <v>25184</v>
      </c>
      <c r="J13" s="14">
        <f>'Datu ievade'!H111</f>
        <v>25184</v>
      </c>
      <c r="K13" s="14">
        <f t="shared" si="2"/>
        <v>25184</v>
      </c>
      <c r="L13" s="14">
        <f t="shared" si="2"/>
        <v>25184</v>
      </c>
      <c r="M13" s="13">
        <f>'Datu ievade'!$B88*'gadu šķirošana'!M$3+'Datu ievade'!$D111*'gadu šķirošana'!M$4</f>
        <v>25184</v>
      </c>
      <c r="N13" s="13">
        <f>'Datu ievade'!$B88*'gadu šķirošana'!N$3+'Datu ievade'!$D111*'gadu šķirošana'!N$4</f>
        <v>25184</v>
      </c>
      <c r="O13" s="13">
        <f>'Datu ievade'!$B88*'gadu šķirošana'!O$3+'Datu ievade'!$D111*'gadu šķirošana'!O$4</f>
        <v>25184</v>
      </c>
      <c r="P13" s="13">
        <f>'Datu ievade'!$B88*'gadu šķirošana'!P$3+'Datu ievade'!$D111*'gadu šķirošana'!P$4</f>
        <v>25184</v>
      </c>
      <c r="Q13" s="13">
        <f>'Datu ievade'!$B88*'gadu šķirošana'!Q$3+'Datu ievade'!$D111*'gadu šķirošana'!Q$4</f>
        <v>25184</v>
      </c>
      <c r="R13" s="13">
        <f>'Datu ievade'!$B88*'gadu šķirošana'!R$3+'Datu ievade'!$D111*'gadu šķirošana'!R$4</f>
        <v>25184</v>
      </c>
      <c r="S13" s="13">
        <f>'Datu ievade'!$B88*'gadu šķirošana'!S$3+'Datu ievade'!$D111*'gadu šķirošana'!S$4</f>
        <v>25184</v>
      </c>
      <c r="T13" s="13">
        <f>'Datu ievade'!$B88*'gadu šķirošana'!T$3+'Datu ievade'!$D111*'gadu šķirošana'!T$4</f>
        <v>25184</v>
      </c>
      <c r="U13" s="13">
        <f>'Datu ievade'!$B88*'gadu šķirošana'!U$3+'Datu ievade'!$D111*'gadu šķirošana'!U$4</f>
        <v>25184</v>
      </c>
      <c r="V13" s="13">
        <f>'Datu ievade'!$B88*'gadu šķirošana'!V$3+'Datu ievade'!$D111*'gadu šķirošana'!V$4</f>
        <v>25184</v>
      </c>
      <c r="W13" s="13">
        <f>'Datu ievade'!$B88*'gadu šķirošana'!W$3+'Datu ievade'!$D111*'gadu šķirošana'!W$4</f>
        <v>25184</v>
      </c>
      <c r="X13" s="13">
        <f>'Datu ievade'!$B88*'gadu šķirošana'!X$3+'Datu ievade'!$D111*'gadu šķirošana'!X$4</f>
        <v>25184</v>
      </c>
      <c r="Y13" s="13">
        <f>'Datu ievade'!$B88*'gadu šķirošana'!Y$3+'Datu ievade'!$D111*'gadu šķirošana'!Y$4</f>
        <v>25184</v>
      </c>
      <c r="Z13" s="13">
        <f>'Datu ievade'!$B88*'gadu šķirošana'!Z$3+'Datu ievade'!$D111*'gadu šķirošana'!Z$4</f>
        <v>25184</v>
      </c>
      <c r="AA13" s="13">
        <f>'Datu ievade'!$B88*'gadu šķirošana'!AA$3+'Datu ievade'!$D111*'gadu šķirošana'!AA$4</f>
        <v>25184</v>
      </c>
      <c r="AB13" s="13">
        <f>'Datu ievade'!$B88*'gadu šķirošana'!AB$3+'Datu ievade'!$D111*'gadu šķirošana'!AB$4</f>
        <v>25184</v>
      </c>
      <c r="AC13" s="13">
        <f>'Datu ievade'!$B88*'gadu šķirošana'!AC$3+'Datu ievade'!$D111*'gadu šķirošana'!AC$4</f>
        <v>25184</v>
      </c>
      <c r="AD13" s="13">
        <f>'Datu ievade'!$B88*'gadu šķirošana'!AD$3+'Datu ievade'!$D111*'gadu šķirošana'!AD$4</f>
        <v>25184</v>
      </c>
      <c r="AE13" s="13">
        <f>'Datu ievade'!$B88*'gadu šķirošana'!AE$3+'Datu ievade'!$D111*'gadu šķirošana'!AE$4</f>
        <v>25184</v>
      </c>
      <c r="AF13" s="13">
        <f>'Datu ievade'!$B88*'gadu šķirošana'!AF$3+'Datu ievade'!$D111*'gadu šķirošana'!AF$4</f>
        <v>25184</v>
      </c>
      <c r="AG13" s="13">
        <f>'Datu ievade'!$B88*'gadu šķirošana'!AG$3+'Datu ievade'!$D111*'gadu šķirošana'!AG$4</f>
        <v>25184</v>
      </c>
      <c r="AH13" s="13">
        <f>'Datu ievade'!$B88*'gadu šķirošana'!AH$3+'Datu ievade'!$D111*'gadu šķirošana'!AH$4</f>
        <v>25184</v>
      </c>
      <c r="AI13" s="13">
        <f>'Datu ievade'!$B88*'gadu šķirošana'!AI$3+'Datu ievade'!$D111*'gadu šķirošana'!AI$4</f>
        <v>25184</v>
      </c>
      <c r="AJ13" s="13">
        <f>'Datu ievade'!$B88*'gadu šķirošana'!AJ$3+'Datu ievade'!$D111*'gadu šķirošana'!AJ$4</f>
        <v>25184</v>
      </c>
      <c r="AK13" s="13">
        <f>'Datu ievade'!$B88*'gadu šķirošana'!AK$3+'Datu ievade'!$D111*'gadu šķirošana'!AK$4</f>
        <v>25184</v>
      </c>
    </row>
    <row r="14" spans="2:37" x14ac:dyDescent="0.2">
      <c r="B14" s="3" t="s">
        <v>355</v>
      </c>
      <c r="C14" s="14">
        <f>'Datu ievade'!B89</f>
        <v>73343</v>
      </c>
      <c r="D14" s="14">
        <f>'Datu ievade'!B112</f>
        <v>73343</v>
      </c>
      <c r="E14" s="14">
        <f>'Datu ievade'!C112</f>
        <v>73343</v>
      </c>
      <c r="F14" s="14">
        <f>'Datu ievade'!D112</f>
        <v>73343</v>
      </c>
      <c r="G14" s="14">
        <f>'Datu ievade'!E112</f>
        <v>73343</v>
      </c>
      <c r="H14" s="14">
        <f>'Datu ievade'!F112</f>
        <v>73343</v>
      </c>
      <c r="I14" s="14">
        <f>'Datu ievade'!G112</f>
        <v>73343</v>
      </c>
      <c r="J14" s="14">
        <f>'Datu ievade'!H112</f>
        <v>73343</v>
      </c>
      <c r="K14" s="14">
        <f t="shared" si="2"/>
        <v>73343</v>
      </c>
      <c r="L14" s="14">
        <f t="shared" si="2"/>
        <v>73343</v>
      </c>
      <c r="M14" s="13">
        <f>'Datu ievade'!$B89*'gadu šķirošana'!M$3+'Datu ievade'!$D112*'gadu šķirošana'!M$4</f>
        <v>73343</v>
      </c>
      <c r="N14" s="13">
        <f>'Datu ievade'!$B89*'gadu šķirošana'!N$3+'Datu ievade'!$D112*'gadu šķirošana'!N$4</f>
        <v>73343</v>
      </c>
      <c r="O14" s="13">
        <f>'Datu ievade'!$B89*'gadu šķirošana'!O$3+'Datu ievade'!$D112*'gadu šķirošana'!O$4</f>
        <v>73343</v>
      </c>
      <c r="P14" s="13">
        <f>'Datu ievade'!$B89*'gadu šķirošana'!P$3+'Datu ievade'!$D112*'gadu šķirošana'!P$4</f>
        <v>73343</v>
      </c>
      <c r="Q14" s="13">
        <f>'Datu ievade'!$B89*'gadu šķirošana'!Q$3+'Datu ievade'!$D112*'gadu šķirošana'!Q$4</f>
        <v>73343</v>
      </c>
      <c r="R14" s="13">
        <f>'Datu ievade'!$B89*'gadu šķirošana'!R$3+'Datu ievade'!$D112*'gadu šķirošana'!R$4</f>
        <v>73343</v>
      </c>
      <c r="S14" s="13">
        <f>'Datu ievade'!$B89*'gadu šķirošana'!S$3+'Datu ievade'!$D112*'gadu šķirošana'!S$4</f>
        <v>73343</v>
      </c>
      <c r="T14" s="13">
        <f>'Datu ievade'!$B89*'gadu šķirošana'!T$3+'Datu ievade'!$D112*'gadu šķirošana'!T$4</f>
        <v>73343</v>
      </c>
      <c r="U14" s="13">
        <f>'Datu ievade'!$B89*'gadu šķirošana'!U$3+'Datu ievade'!$D112*'gadu šķirošana'!U$4</f>
        <v>73343</v>
      </c>
      <c r="V14" s="13">
        <f>'Datu ievade'!$B89*'gadu šķirošana'!V$3+'Datu ievade'!$D112*'gadu šķirošana'!V$4</f>
        <v>73343</v>
      </c>
      <c r="W14" s="13">
        <f>'Datu ievade'!$B89*'gadu šķirošana'!W$3+'Datu ievade'!$D112*'gadu šķirošana'!W$4</f>
        <v>73343</v>
      </c>
      <c r="X14" s="13">
        <f>'Datu ievade'!$B89*'gadu šķirošana'!X$3+'Datu ievade'!$D112*'gadu šķirošana'!X$4</f>
        <v>73343</v>
      </c>
      <c r="Y14" s="13">
        <f>'Datu ievade'!$B89*'gadu šķirošana'!Y$3+'Datu ievade'!$D112*'gadu šķirošana'!Y$4</f>
        <v>73343</v>
      </c>
      <c r="Z14" s="13">
        <f>'Datu ievade'!$B89*'gadu šķirošana'!Z$3+'Datu ievade'!$D112*'gadu šķirošana'!Z$4</f>
        <v>73343</v>
      </c>
      <c r="AA14" s="13">
        <f>'Datu ievade'!$B89*'gadu šķirošana'!AA$3+'Datu ievade'!$D112*'gadu šķirošana'!AA$4</f>
        <v>73343</v>
      </c>
      <c r="AB14" s="13">
        <f>'Datu ievade'!$B89*'gadu šķirošana'!AB$3+'Datu ievade'!$D112*'gadu šķirošana'!AB$4</f>
        <v>73343</v>
      </c>
      <c r="AC14" s="13">
        <f>'Datu ievade'!$B89*'gadu šķirošana'!AC$3+'Datu ievade'!$D112*'gadu šķirošana'!AC$4</f>
        <v>73343</v>
      </c>
      <c r="AD14" s="13">
        <f>'Datu ievade'!$B89*'gadu šķirošana'!AD$3+'Datu ievade'!$D112*'gadu šķirošana'!AD$4</f>
        <v>73343</v>
      </c>
      <c r="AE14" s="13">
        <f>'Datu ievade'!$B89*'gadu šķirošana'!AE$3+'Datu ievade'!$D112*'gadu šķirošana'!AE$4</f>
        <v>73343</v>
      </c>
      <c r="AF14" s="13">
        <f>'Datu ievade'!$B89*'gadu šķirošana'!AF$3+'Datu ievade'!$D112*'gadu šķirošana'!AF$4</f>
        <v>73343</v>
      </c>
      <c r="AG14" s="13">
        <f>'Datu ievade'!$B89*'gadu šķirošana'!AG$3+'Datu ievade'!$D112*'gadu šķirošana'!AG$4</f>
        <v>73343</v>
      </c>
      <c r="AH14" s="13">
        <f>'Datu ievade'!$B89*'gadu šķirošana'!AH$3+'Datu ievade'!$D112*'gadu šķirošana'!AH$4</f>
        <v>73343</v>
      </c>
      <c r="AI14" s="13">
        <f>'Datu ievade'!$B89*'gadu šķirošana'!AI$3+'Datu ievade'!$D112*'gadu šķirošana'!AI$4</f>
        <v>73343</v>
      </c>
      <c r="AJ14" s="13">
        <f>'Datu ievade'!$B89*'gadu šķirošana'!AJ$3+'Datu ievade'!$D112*'gadu šķirošana'!AJ$4</f>
        <v>73343</v>
      </c>
      <c r="AK14" s="13">
        <f>'Datu ievade'!$B89*'gadu šķirošana'!AK$3+'Datu ievade'!$D112*'gadu šķirošana'!AK$4</f>
        <v>73343</v>
      </c>
    </row>
    <row r="16" spans="2:37" x14ac:dyDescent="0.15">
      <c r="B16" s="1" t="s">
        <v>356</v>
      </c>
    </row>
    <row r="17" spans="2:38" x14ac:dyDescent="0.2">
      <c r="B17" s="2" t="s">
        <v>237</v>
      </c>
      <c r="C17" s="15">
        <v>0</v>
      </c>
      <c r="D17" s="15">
        <f>'Datu ievade'!B69</f>
        <v>0</v>
      </c>
      <c r="E17" s="15">
        <f>'Datu ievade'!C69</f>
        <v>22272.93</v>
      </c>
      <c r="F17" s="15">
        <f>'Datu ievade'!D69</f>
        <v>12701.627611124361</v>
      </c>
      <c r="G17" s="15">
        <f>'Datu ievade'!E69</f>
        <v>0</v>
      </c>
      <c r="H17" s="15">
        <f>'Datu ievade'!F69</f>
        <v>0</v>
      </c>
      <c r="I17" s="15">
        <f>'Datu ievade'!G69</f>
        <v>0</v>
      </c>
      <c r="J17" s="15">
        <f>'Datu ievade'!H69</f>
        <v>0</v>
      </c>
      <c r="K17" s="15">
        <f>'Datu ievade'!I69</f>
        <v>0</v>
      </c>
      <c r="L17" s="15">
        <f>'Datu ievade'!J69</f>
        <v>0</v>
      </c>
      <c r="M17" s="15">
        <f>'Datu ievade'!K69</f>
        <v>0</v>
      </c>
      <c r="N17" s="15">
        <f>'Datu ievade'!L69</f>
        <v>0</v>
      </c>
      <c r="O17" s="15">
        <f>'Datu ievade'!M69</f>
        <v>0</v>
      </c>
      <c r="P17" s="15">
        <f>'Datu ievade'!N69</f>
        <v>0</v>
      </c>
      <c r="Q17" s="15">
        <f>'Datu ievade'!O69</f>
        <v>0</v>
      </c>
      <c r="R17" s="15">
        <f>'Datu ievade'!P69</f>
        <v>0</v>
      </c>
      <c r="S17" s="15">
        <f>'Datu ievade'!Q69</f>
        <v>0</v>
      </c>
      <c r="T17" s="15">
        <f>'Datu ievade'!R69</f>
        <v>0</v>
      </c>
      <c r="U17" s="15">
        <f>'Datu ievade'!S69</f>
        <v>0</v>
      </c>
      <c r="V17" s="15">
        <f>'Datu ievade'!T69</f>
        <v>0</v>
      </c>
      <c r="W17" s="15">
        <f>'Datu ievade'!U69</f>
        <v>0</v>
      </c>
      <c r="X17" s="15">
        <f>'Datu ievade'!V69</f>
        <v>0</v>
      </c>
      <c r="Y17" s="15">
        <f>'Datu ievade'!W69</f>
        <v>0</v>
      </c>
      <c r="Z17" s="15">
        <f>'Datu ievade'!X69</f>
        <v>0</v>
      </c>
      <c r="AA17" s="15">
        <f>'Datu ievade'!Y69</f>
        <v>0</v>
      </c>
      <c r="AB17" s="15">
        <f>'Datu ievade'!Z69</f>
        <v>0</v>
      </c>
      <c r="AC17" s="15">
        <f>'Datu ievade'!AA69</f>
        <v>0</v>
      </c>
      <c r="AD17" s="15">
        <f>'Datu ievade'!AB69</f>
        <v>0</v>
      </c>
      <c r="AE17" s="15">
        <f>'Datu ievade'!AC69</f>
        <v>0</v>
      </c>
      <c r="AF17" s="15">
        <f>'Datu ievade'!AD69</f>
        <v>0</v>
      </c>
      <c r="AG17" s="15">
        <f>'Datu ievade'!AE69</f>
        <v>0</v>
      </c>
      <c r="AH17" s="15">
        <f>'Datu ievade'!AF69</f>
        <v>0</v>
      </c>
      <c r="AI17" s="15">
        <f>'Datu ievade'!AG69</f>
        <v>0</v>
      </c>
      <c r="AJ17" s="15" t="e">
        <f>'Datu ievade'!#REF!</f>
        <v>#REF!</v>
      </c>
      <c r="AK17" s="15" t="e">
        <f>'Datu ievade'!#REF!</f>
        <v>#REF!</v>
      </c>
      <c r="AL17" s="15"/>
    </row>
    <row r="18" spans="2:38" x14ac:dyDescent="0.2">
      <c r="B18" s="2" t="s">
        <v>238</v>
      </c>
      <c r="C18" s="15">
        <v>0</v>
      </c>
      <c r="D18" s="15" t="e">
        <f>'Datu ievade'!#REF!</f>
        <v>#REF!</v>
      </c>
      <c r="E18" s="15" t="e">
        <f>'Datu ievade'!#REF!</f>
        <v>#REF!</v>
      </c>
      <c r="F18" s="15" t="e">
        <f>'Datu ievade'!#REF!</f>
        <v>#REF!</v>
      </c>
      <c r="G18" s="15" t="e">
        <f>'Datu ievade'!#REF!</f>
        <v>#REF!</v>
      </c>
      <c r="H18" s="15" t="e">
        <f>'Datu ievade'!#REF!</f>
        <v>#REF!</v>
      </c>
      <c r="I18" s="15" t="e">
        <f>'Datu ievade'!#REF!</f>
        <v>#REF!</v>
      </c>
      <c r="J18" s="15" t="e">
        <f>'Datu ievade'!#REF!</f>
        <v>#REF!</v>
      </c>
      <c r="K18" s="15">
        <v>0</v>
      </c>
      <c r="L18" s="15">
        <v>0</v>
      </c>
      <c r="M18" s="15">
        <v>0</v>
      </c>
      <c r="N18" s="15">
        <v>0</v>
      </c>
      <c r="O18" s="15">
        <v>0</v>
      </c>
      <c r="P18" s="15">
        <v>0</v>
      </c>
      <c r="Q18" s="15">
        <v>0</v>
      </c>
      <c r="R18" s="15">
        <v>0</v>
      </c>
      <c r="S18" s="15">
        <v>0</v>
      </c>
      <c r="T18" s="15">
        <v>0</v>
      </c>
      <c r="U18" s="15">
        <v>0</v>
      </c>
      <c r="V18" s="15">
        <v>0</v>
      </c>
      <c r="W18" s="15">
        <v>0</v>
      </c>
      <c r="X18" s="15">
        <v>0</v>
      </c>
      <c r="Y18" s="15">
        <v>0</v>
      </c>
      <c r="Z18" s="15">
        <v>0</v>
      </c>
      <c r="AA18" s="15">
        <v>0</v>
      </c>
      <c r="AB18" s="15">
        <v>0</v>
      </c>
      <c r="AC18" s="15">
        <v>0</v>
      </c>
      <c r="AD18" s="15">
        <v>0</v>
      </c>
      <c r="AE18" s="15">
        <v>0</v>
      </c>
      <c r="AF18" s="15">
        <v>0</v>
      </c>
      <c r="AG18" s="15">
        <v>0</v>
      </c>
      <c r="AH18" s="15">
        <v>0</v>
      </c>
      <c r="AI18" s="15">
        <v>0</v>
      </c>
      <c r="AJ18" s="15">
        <v>0</v>
      </c>
      <c r="AK18" s="15">
        <v>0</v>
      </c>
      <c r="AL18" s="15"/>
    </row>
    <row r="19" spans="2:38" x14ac:dyDescent="0.2">
      <c r="B19" s="2" t="s">
        <v>357</v>
      </c>
      <c r="C19" s="15">
        <v>0</v>
      </c>
      <c r="D19" s="15">
        <f>'Datu ievade'!B71</f>
        <v>3627.59</v>
      </c>
      <c r="E19" s="15">
        <f>'Datu ievade'!C71</f>
        <v>0</v>
      </c>
      <c r="F19" s="15">
        <f>'Datu ievade'!D71</f>
        <v>4582.21</v>
      </c>
      <c r="G19" s="15">
        <f>'Datu ievade'!E71</f>
        <v>0</v>
      </c>
      <c r="H19" s="15">
        <f>'Datu ievade'!F71</f>
        <v>0</v>
      </c>
      <c r="I19" s="15">
        <f>'Datu ievade'!G71</f>
        <v>0</v>
      </c>
      <c r="J19" s="15">
        <f>'Datu ievade'!H71</f>
        <v>0</v>
      </c>
      <c r="K19" s="15">
        <v>0</v>
      </c>
      <c r="L19" s="15">
        <v>0</v>
      </c>
      <c r="M19" s="15">
        <v>0</v>
      </c>
      <c r="N19" s="15">
        <v>0</v>
      </c>
      <c r="O19" s="15">
        <v>0</v>
      </c>
      <c r="P19" s="15">
        <v>0</v>
      </c>
      <c r="Q19" s="15">
        <v>0</v>
      </c>
      <c r="R19" s="15">
        <v>0</v>
      </c>
      <c r="S19" s="15">
        <v>0</v>
      </c>
      <c r="T19" s="15">
        <v>0</v>
      </c>
      <c r="U19" s="15">
        <v>0</v>
      </c>
      <c r="V19" s="15">
        <v>0</v>
      </c>
      <c r="W19" s="15">
        <v>0</v>
      </c>
      <c r="X19" s="15">
        <v>0</v>
      </c>
      <c r="Y19" s="15">
        <v>0</v>
      </c>
      <c r="Z19" s="15">
        <v>0</v>
      </c>
      <c r="AA19" s="15">
        <v>0</v>
      </c>
      <c r="AB19" s="15">
        <v>0</v>
      </c>
      <c r="AC19" s="15">
        <v>0</v>
      </c>
      <c r="AD19" s="15">
        <v>0</v>
      </c>
      <c r="AE19" s="15">
        <v>0</v>
      </c>
      <c r="AF19" s="15">
        <v>0</v>
      </c>
      <c r="AG19" s="15">
        <v>0</v>
      </c>
      <c r="AH19" s="15">
        <v>0</v>
      </c>
      <c r="AI19" s="15">
        <v>0</v>
      </c>
      <c r="AJ19" s="15">
        <v>0</v>
      </c>
      <c r="AK19" s="15">
        <v>0</v>
      </c>
      <c r="AL19" s="15"/>
    </row>
    <row r="20" spans="2:38" x14ac:dyDescent="0.2">
      <c r="B20" s="2" t="s">
        <v>358</v>
      </c>
      <c r="C20" s="15">
        <v>0</v>
      </c>
      <c r="D20" s="15">
        <v>0</v>
      </c>
      <c r="E20" s="15">
        <v>0</v>
      </c>
      <c r="F20" s="15">
        <v>0</v>
      </c>
      <c r="G20" s="15">
        <v>0</v>
      </c>
      <c r="H20" s="15">
        <v>0</v>
      </c>
      <c r="I20" s="15">
        <v>0</v>
      </c>
      <c r="J20" s="15">
        <v>0</v>
      </c>
      <c r="K20" s="15">
        <v>0</v>
      </c>
      <c r="L20" s="15">
        <v>0</v>
      </c>
      <c r="M20" s="15">
        <v>0</v>
      </c>
      <c r="N20" s="15">
        <v>0</v>
      </c>
      <c r="O20" s="15">
        <v>0</v>
      </c>
      <c r="P20" s="15">
        <v>0</v>
      </c>
      <c r="Q20" s="15">
        <v>0</v>
      </c>
      <c r="R20" s="15">
        <v>0</v>
      </c>
      <c r="S20" s="15">
        <v>0</v>
      </c>
      <c r="T20" s="15">
        <v>0</v>
      </c>
      <c r="U20" s="15">
        <v>0</v>
      </c>
      <c r="V20" s="15">
        <v>0</v>
      </c>
      <c r="W20" s="15">
        <v>0</v>
      </c>
      <c r="X20" s="15">
        <v>0</v>
      </c>
      <c r="Y20" s="15">
        <v>0</v>
      </c>
      <c r="Z20" s="15">
        <v>0</v>
      </c>
      <c r="AA20" s="15">
        <v>0</v>
      </c>
      <c r="AB20" s="15">
        <v>0</v>
      </c>
      <c r="AC20" s="15">
        <v>0</v>
      </c>
      <c r="AD20" s="15">
        <v>0</v>
      </c>
      <c r="AE20" s="15">
        <v>0</v>
      </c>
      <c r="AF20" s="15">
        <v>0</v>
      </c>
      <c r="AG20" s="15">
        <v>0</v>
      </c>
      <c r="AH20" s="15">
        <v>0</v>
      </c>
      <c r="AI20" s="15">
        <v>0</v>
      </c>
      <c r="AJ20" s="15">
        <v>0</v>
      </c>
      <c r="AK20" s="15">
        <v>0</v>
      </c>
      <c r="AL20" s="15"/>
    </row>
    <row r="21" spans="2:38" x14ac:dyDescent="0.2">
      <c r="B21" s="2" t="s">
        <v>359</v>
      </c>
      <c r="C21" s="15">
        <v>0</v>
      </c>
      <c r="D21" s="15">
        <v>0</v>
      </c>
      <c r="E21" s="15">
        <v>0</v>
      </c>
      <c r="F21" s="15">
        <v>0</v>
      </c>
      <c r="G21" s="15">
        <v>0</v>
      </c>
      <c r="H21" s="15">
        <v>0</v>
      </c>
      <c r="I21" s="15">
        <v>0</v>
      </c>
      <c r="J21" s="15">
        <v>0</v>
      </c>
      <c r="K21" s="15">
        <v>0</v>
      </c>
      <c r="L21" s="15">
        <v>0</v>
      </c>
      <c r="M21" s="15">
        <v>0</v>
      </c>
      <c r="N21" s="15">
        <v>0</v>
      </c>
      <c r="O21" s="15">
        <v>0</v>
      </c>
      <c r="P21" s="15">
        <v>0</v>
      </c>
      <c r="Q21" s="15">
        <v>0</v>
      </c>
      <c r="R21" s="15">
        <v>0</v>
      </c>
      <c r="S21" s="15">
        <v>0</v>
      </c>
      <c r="T21" s="15">
        <v>0</v>
      </c>
      <c r="U21" s="15">
        <v>0</v>
      </c>
      <c r="V21" s="15">
        <v>0</v>
      </c>
      <c r="W21" s="15">
        <v>0</v>
      </c>
      <c r="X21" s="15">
        <v>0</v>
      </c>
      <c r="Y21" s="15">
        <v>0</v>
      </c>
      <c r="Z21" s="15">
        <v>0</v>
      </c>
      <c r="AA21" s="15">
        <v>0</v>
      </c>
      <c r="AB21" s="15">
        <v>0</v>
      </c>
      <c r="AC21" s="15">
        <v>0</v>
      </c>
      <c r="AD21" s="15">
        <v>0</v>
      </c>
      <c r="AE21" s="15">
        <v>0</v>
      </c>
      <c r="AF21" s="15">
        <v>0</v>
      </c>
      <c r="AG21" s="15">
        <v>0</v>
      </c>
      <c r="AH21" s="15">
        <v>0</v>
      </c>
      <c r="AI21" s="15">
        <v>0</v>
      </c>
      <c r="AJ21" s="15">
        <v>0</v>
      </c>
      <c r="AK21" s="15">
        <v>0</v>
      </c>
      <c r="AL21" s="15"/>
    </row>
    <row r="22" spans="2:38" x14ac:dyDescent="0.2">
      <c r="B22" s="2" t="s">
        <v>360</v>
      </c>
      <c r="C22" s="15">
        <v>0</v>
      </c>
      <c r="D22" s="15">
        <v>0</v>
      </c>
      <c r="E22" s="15">
        <v>0</v>
      </c>
      <c r="F22" s="15">
        <v>0</v>
      </c>
      <c r="G22" s="15">
        <v>0</v>
      </c>
      <c r="H22" s="15">
        <v>0</v>
      </c>
      <c r="I22" s="15">
        <v>0</v>
      </c>
      <c r="J22" s="15">
        <v>0</v>
      </c>
      <c r="K22" s="15">
        <v>0</v>
      </c>
      <c r="L22" s="15">
        <v>0</v>
      </c>
      <c r="M22" s="15">
        <v>0</v>
      </c>
      <c r="N22" s="15">
        <v>0</v>
      </c>
      <c r="O22" s="15">
        <v>0</v>
      </c>
      <c r="P22" s="15">
        <v>0</v>
      </c>
      <c r="Q22" s="15">
        <v>0</v>
      </c>
      <c r="R22" s="15">
        <v>0</v>
      </c>
      <c r="S22" s="15">
        <v>0</v>
      </c>
      <c r="T22" s="15">
        <v>0</v>
      </c>
      <c r="U22" s="15">
        <v>0</v>
      </c>
      <c r="V22" s="15">
        <v>0</v>
      </c>
      <c r="W22" s="15">
        <v>0</v>
      </c>
      <c r="X22" s="15">
        <v>0</v>
      </c>
      <c r="Y22" s="15">
        <v>0</v>
      </c>
      <c r="Z22" s="15">
        <v>0</v>
      </c>
      <c r="AA22" s="15">
        <v>0</v>
      </c>
      <c r="AB22" s="15">
        <v>0</v>
      </c>
      <c r="AC22" s="15">
        <v>0</v>
      </c>
      <c r="AD22" s="15">
        <v>0</v>
      </c>
      <c r="AE22" s="15">
        <v>0</v>
      </c>
      <c r="AF22" s="15">
        <v>0</v>
      </c>
      <c r="AG22" s="15">
        <v>0</v>
      </c>
      <c r="AH22" s="15">
        <v>0</v>
      </c>
      <c r="AI22" s="15">
        <v>0</v>
      </c>
      <c r="AJ22" s="15">
        <v>0</v>
      </c>
      <c r="AK22" s="15">
        <v>0</v>
      </c>
      <c r="AL22" s="15"/>
    </row>
    <row r="23" spans="2:38" x14ac:dyDescent="0.15">
      <c r="B23" s="1" t="s">
        <v>361</v>
      </c>
    </row>
    <row r="24" spans="2:38" x14ac:dyDescent="0.2">
      <c r="B24" s="2" t="s">
        <v>237</v>
      </c>
      <c r="C24" s="15">
        <v>0</v>
      </c>
      <c r="D24" s="15" t="e">
        <f>'Datu ievade'!B60+'Datu ievade'!#REF!+'Datu ievade'!#REF!</f>
        <v>#REF!</v>
      </c>
      <c r="E24" s="15" t="e">
        <f>'Datu ievade'!C60+'Datu ievade'!#REF!+'Datu ievade'!#REF!</f>
        <v>#REF!</v>
      </c>
      <c r="F24" s="15" t="e">
        <f>'Datu ievade'!D60+'Datu ievade'!#REF!+'Datu ievade'!#REF!</f>
        <v>#REF!</v>
      </c>
      <c r="G24" s="15" t="e">
        <f>'Datu ievade'!E60+'Datu ievade'!#REF!+'Datu ievade'!#REF!</f>
        <v>#REF!</v>
      </c>
      <c r="H24" s="15" t="e">
        <f>'Datu ievade'!F60+'Datu ievade'!#REF!+'Datu ievade'!#REF!</f>
        <v>#REF!</v>
      </c>
      <c r="I24" s="15" t="e">
        <f>'Datu ievade'!G60+'Datu ievade'!#REF!+'Datu ievade'!#REF!</f>
        <v>#REF!</v>
      </c>
      <c r="J24" s="15" t="e">
        <f>'Datu ievade'!H60+'Datu ievade'!#REF!+'Datu ievade'!#REF!</f>
        <v>#REF!</v>
      </c>
      <c r="K24" s="15" t="e">
        <f>'Datu ievade'!I60+'Datu ievade'!#REF!+'Datu ievade'!#REF!</f>
        <v>#REF!</v>
      </c>
      <c r="L24" s="15" t="e">
        <f>'Datu ievade'!J60+'Datu ievade'!#REF!+'Datu ievade'!#REF!</f>
        <v>#REF!</v>
      </c>
      <c r="M24" s="15" t="e">
        <f>'Datu ievade'!K60+'Datu ievade'!#REF!+'Datu ievade'!#REF!</f>
        <v>#REF!</v>
      </c>
      <c r="N24" s="15" t="e">
        <f>'Datu ievade'!L60+'Datu ievade'!#REF!+'Datu ievade'!#REF!</f>
        <v>#REF!</v>
      </c>
      <c r="O24" s="15" t="e">
        <f>'Datu ievade'!M60+'Datu ievade'!#REF!+'Datu ievade'!#REF!</f>
        <v>#REF!</v>
      </c>
      <c r="P24" s="15" t="e">
        <f>'Datu ievade'!N60+'Datu ievade'!#REF!+'Datu ievade'!#REF!</f>
        <v>#REF!</v>
      </c>
      <c r="Q24" s="15" t="e">
        <f>'Datu ievade'!O60+'Datu ievade'!#REF!+'Datu ievade'!#REF!</f>
        <v>#REF!</v>
      </c>
      <c r="R24" s="15" t="e">
        <f>'Datu ievade'!P60+'Datu ievade'!#REF!+'Datu ievade'!#REF!</f>
        <v>#REF!</v>
      </c>
      <c r="S24" s="15" t="e">
        <f>'Datu ievade'!Q60+'Datu ievade'!#REF!+'Datu ievade'!#REF!</f>
        <v>#REF!</v>
      </c>
      <c r="T24" s="15" t="e">
        <f>'Datu ievade'!R60+'Datu ievade'!#REF!+'Datu ievade'!#REF!</f>
        <v>#REF!</v>
      </c>
      <c r="U24" s="15" t="e">
        <f>'Datu ievade'!S60+'Datu ievade'!#REF!+'Datu ievade'!#REF!</f>
        <v>#REF!</v>
      </c>
      <c r="V24" s="15" t="e">
        <f>'Datu ievade'!T60+'Datu ievade'!#REF!+'Datu ievade'!#REF!</f>
        <v>#REF!</v>
      </c>
      <c r="W24" s="15" t="e">
        <f>'Datu ievade'!U60+'Datu ievade'!#REF!+'Datu ievade'!#REF!</f>
        <v>#REF!</v>
      </c>
      <c r="X24" s="15" t="e">
        <f>'Datu ievade'!V60+'Datu ievade'!#REF!+'Datu ievade'!#REF!</f>
        <v>#REF!</v>
      </c>
      <c r="Y24" s="15" t="e">
        <f>'Datu ievade'!W60+'Datu ievade'!#REF!+'Datu ievade'!#REF!</f>
        <v>#REF!</v>
      </c>
      <c r="Z24" s="15" t="e">
        <f>'Datu ievade'!X60+'Datu ievade'!#REF!+'Datu ievade'!#REF!</f>
        <v>#REF!</v>
      </c>
      <c r="AA24" s="15" t="e">
        <f>'Datu ievade'!Y60+'Datu ievade'!#REF!+'Datu ievade'!#REF!</f>
        <v>#REF!</v>
      </c>
      <c r="AB24" s="15" t="e">
        <f>'Datu ievade'!Z60+'Datu ievade'!#REF!+'Datu ievade'!#REF!</f>
        <v>#REF!</v>
      </c>
      <c r="AC24" s="15" t="e">
        <f>'Datu ievade'!AA60+'Datu ievade'!#REF!+'Datu ievade'!#REF!</f>
        <v>#REF!</v>
      </c>
      <c r="AD24" s="15" t="e">
        <f>'Datu ievade'!AB60+'Datu ievade'!#REF!+'Datu ievade'!#REF!</f>
        <v>#REF!</v>
      </c>
      <c r="AE24" s="15" t="e">
        <f>'Datu ievade'!AC60+'Datu ievade'!#REF!+'Datu ievade'!#REF!</f>
        <v>#REF!</v>
      </c>
      <c r="AF24" s="15" t="e">
        <f>'Datu ievade'!AD60+'Datu ievade'!#REF!+'Datu ievade'!#REF!</f>
        <v>#REF!</v>
      </c>
      <c r="AG24" s="15" t="e">
        <f>'Datu ievade'!AE60+'Datu ievade'!#REF!+'Datu ievade'!#REF!</f>
        <v>#REF!</v>
      </c>
      <c r="AH24" s="15" t="e">
        <f>'Datu ievade'!AF60+'Datu ievade'!#REF!+'Datu ievade'!#REF!</f>
        <v>#REF!</v>
      </c>
      <c r="AI24" s="15" t="e">
        <f>'Datu ievade'!AG60+'Datu ievade'!#REF!+'Datu ievade'!#REF!</f>
        <v>#REF!</v>
      </c>
      <c r="AJ24" s="15" t="e">
        <f>'Datu ievade'!#REF!+'Datu ievade'!#REF!+'Datu ievade'!#REF!</f>
        <v>#REF!</v>
      </c>
      <c r="AK24" s="15" t="e">
        <f>'Datu ievade'!#REF!+'Datu ievade'!#REF!+'Datu ievade'!#REF!</f>
        <v>#REF!</v>
      </c>
      <c r="AL24" s="15"/>
    </row>
    <row r="25" spans="2:38" x14ac:dyDescent="0.2">
      <c r="B25" s="2" t="s">
        <v>238</v>
      </c>
      <c r="C25" s="15">
        <v>0</v>
      </c>
      <c r="D25" s="15" t="e">
        <f>'Datu ievade'!#REF!</f>
        <v>#REF!</v>
      </c>
      <c r="E25" s="15" t="e">
        <f>'Datu ievade'!#REF!</f>
        <v>#REF!</v>
      </c>
      <c r="F25" s="15" t="e">
        <f>'Datu ievade'!#REF!</f>
        <v>#REF!</v>
      </c>
      <c r="G25" s="15" t="e">
        <f>'Datu ievade'!#REF!</f>
        <v>#REF!</v>
      </c>
      <c r="H25" s="15" t="e">
        <f>'Datu ievade'!#REF!</f>
        <v>#REF!</v>
      </c>
      <c r="I25" s="15" t="e">
        <f>'Datu ievade'!#REF!</f>
        <v>#REF!</v>
      </c>
      <c r="J25" s="15" t="e">
        <f>'Datu ievade'!#REF!</f>
        <v>#REF!</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row>
    <row r="26" spans="2:38" x14ac:dyDescent="0.2">
      <c r="B26" s="2" t="s">
        <v>357</v>
      </c>
      <c r="C26" s="15">
        <v>0</v>
      </c>
      <c r="D26" s="15">
        <f>'Datu ievade'!B62+'Datu ievade'!B68</f>
        <v>30272.080000000002</v>
      </c>
      <c r="E26" s="15">
        <f>'Datu ievade'!C62+'Datu ievade'!C68</f>
        <v>8157.8</v>
      </c>
      <c r="F26" s="15">
        <f>'Datu ievade'!D62+'Datu ievade'!D68</f>
        <v>12556.15</v>
      </c>
      <c r="G26" s="15">
        <f>'Datu ievade'!E62+'Datu ievade'!E68</f>
        <v>0</v>
      </c>
      <c r="H26" s="15">
        <f>'Datu ievade'!F62+'Datu ievade'!F68</f>
        <v>0</v>
      </c>
      <c r="I26" s="15">
        <f>'Datu ievade'!G62+'Datu ievade'!G68</f>
        <v>0</v>
      </c>
      <c r="J26" s="15">
        <f>'Datu ievade'!H62+'Datu ievade'!H68</f>
        <v>0</v>
      </c>
      <c r="K26" s="15">
        <v>0</v>
      </c>
      <c r="L26" s="15">
        <v>0</v>
      </c>
      <c r="M26" s="15">
        <v>0</v>
      </c>
      <c r="N26" s="15">
        <v>0</v>
      </c>
      <c r="O26" s="15">
        <v>0</v>
      </c>
      <c r="P26" s="15">
        <v>0</v>
      </c>
      <c r="Q26" s="15">
        <v>0</v>
      </c>
      <c r="R26" s="15">
        <v>0</v>
      </c>
      <c r="S26" s="15">
        <v>0</v>
      </c>
      <c r="T26" s="15">
        <v>0</v>
      </c>
      <c r="U26" s="15">
        <v>0</v>
      </c>
      <c r="V26" s="15">
        <v>0</v>
      </c>
      <c r="W26" s="15">
        <v>0</v>
      </c>
      <c r="X26" s="15">
        <v>0</v>
      </c>
      <c r="Y26" s="15">
        <v>0</v>
      </c>
      <c r="Z26" s="15">
        <v>0</v>
      </c>
      <c r="AA26" s="15">
        <v>0</v>
      </c>
      <c r="AB26" s="15">
        <v>0</v>
      </c>
      <c r="AC26" s="15">
        <v>0</v>
      </c>
      <c r="AD26" s="15">
        <v>0</v>
      </c>
      <c r="AE26" s="15">
        <v>0</v>
      </c>
      <c r="AF26" s="15">
        <v>0</v>
      </c>
      <c r="AG26" s="15">
        <v>0</v>
      </c>
      <c r="AH26" s="15">
        <v>0</v>
      </c>
      <c r="AI26" s="15">
        <v>0</v>
      </c>
      <c r="AJ26" s="15">
        <v>0</v>
      </c>
      <c r="AK26" s="15">
        <v>0</v>
      </c>
      <c r="AL26" s="15"/>
    </row>
    <row r="27" spans="2:38" x14ac:dyDescent="0.2">
      <c r="B27" s="2" t="s">
        <v>362</v>
      </c>
      <c r="C27" s="15">
        <v>0</v>
      </c>
      <c r="D27" s="15">
        <f>'Datu ievade'!B64+'Datu ievade'!B73</f>
        <v>0</v>
      </c>
      <c r="E27" s="15">
        <f>'Datu ievade'!C64+'Datu ievade'!C73</f>
        <v>0</v>
      </c>
      <c r="F27" s="15">
        <f>'Datu ievade'!D64+'Datu ievade'!D73</f>
        <v>0</v>
      </c>
      <c r="G27" s="15">
        <f>'Datu ievade'!E64+'Datu ievade'!E73</f>
        <v>0</v>
      </c>
      <c r="H27" s="15">
        <f>'Datu ievade'!F64+'Datu ievade'!F73</f>
        <v>0</v>
      </c>
      <c r="I27" s="15">
        <f>'Datu ievade'!G64+'Datu ievade'!G73</f>
        <v>0</v>
      </c>
      <c r="J27" s="15">
        <f>'Datu ievade'!H64+'Datu ievade'!H73</f>
        <v>0</v>
      </c>
      <c r="K27" s="15">
        <v>0</v>
      </c>
      <c r="L27" s="15">
        <v>0</v>
      </c>
      <c r="M27" s="15">
        <v>0</v>
      </c>
      <c r="N27" s="15">
        <v>0</v>
      </c>
      <c r="O27" s="15">
        <v>0</v>
      </c>
      <c r="P27" s="15">
        <v>0</v>
      </c>
      <c r="Q27" s="15">
        <v>0</v>
      </c>
      <c r="R27" s="15">
        <v>0</v>
      </c>
      <c r="S27" s="15">
        <v>0</v>
      </c>
      <c r="T27" s="15">
        <v>0</v>
      </c>
      <c r="U27" s="15">
        <v>0</v>
      </c>
      <c r="V27" s="15">
        <v>0</v>
      </c>
      <c r="W27" s="15">
        <v>0</v>
      </c>
      <c r="X27" s="15">
        <v>0</v>
      </c>
      <c r="Y27" s="15">
        <v>0</v>
      </c>
      <c r="Z27" s="15">
        <v>0</v>
      </c>
      <c r="AA27" s="15">
        <v>0</v>
      </c>
      <c r="AB27" s="15">
        <v>0</v>
      </c>
      <c r="AC27" s="15">
        <v>0</v>
      </c>
      <c r="AD27" s="15">
        <v>0</v>
      </c>
      <c r="AE27" s="15">
        <v>0</v>
      </c>
      <c r="AF27" s="15">
        <v>0</v>
      </c>
      <c r="AG27" s="15">
        <v>0</v>
      </c>
      <c r="AH27" s="15">
        <v>0</v>
      </c>
      <c r="AI27" s="15">
        <v>0</v>
      </c>
      <c r="AJ27" s="15">
        <v>0</v>
      </c>
      <c r="AK27" s="15">
        <v>0</v>
      </c>
      <c r="AL27" s="15"/>
    </row>
    <row r="28" spans="2:38" x14ac:dyDescent="0.2">
      <c r="B28" s="2" t="s">
        <v>359</v>
      </c>
      <c r="C28" s="15">
        <v>0</v>
      </c>
      <c r="D28" s="15" t="e">
        <f>'Datu ievade'!#REF!</f>
        <v>#REF!</v>
      </c>
      <c r="E28" s="15" t="e">
        <f>'Datu ievade'!#REF!</f>
        <v>#REF!</v>
      </c>
      <c r="F28" s="15" t="e">
        <f>'Datu ievade'!#REF!</f>
        <v>#REF!</v>
      </c>
      <c r="G28" s="15" t="e">
        <f>'Datu ievade'!#REF!</f>
        <v>#REF!</v>
      </c>
      <c r="H28" s="15" t="e">
        <f>'Datu ievade'!#REF!</f>
        <v>#REF!</v>
      </c>
      <c r="I28" s="15" t="e">
        <f>'Datu ievade'!#REF!</f>
        <v>#REF!</v>
      </c>
      <c r="J28" s="15" t="e">
        <f>'Datu ievade'!#REF!</f>
        <v>#REF!</v>
      </c>
      <c r="K28" s="15">
        <v>0</v>
      </c>
      <c r="L28" s="15">
        <v>0</v>
      </c>
      <c r="M28" s="15">
        <v>0</v>
      </c>
      <c r="N28" s="15">
        <v>0</v>
      </c>
      <c r="O28" s="15">
        <v>0</v>
      </c>
      <c r="P28" s="15">
        <v>0</v>
      </c>
      <c r="Q28" s="15">
        <v>0</v>
      </c>
      <c r="R28" s="15">
        <v>0</v>
      </c>
      <c r="S28" s="15">
        <v>0</v>
      </c>
      <c r="T28" s="15">
        <v>0</v>
      </c>
      <c r="U28" s="15">
        <v>0</v>
      </c>
      <c r="V28" s="15">
        <v>0</v>
      </c>
      <c r="W28" s="15">
        <v>0</v>
      </c>
      <c r="X28" s="15">
        <v>0</v>
      </c>
      <c r="Y28" s="15">
        <v>0</v>
      </c>
      <c r="Z28" s="15">
        <v>0</v>
      </c>
      <c r="AA28" s="15">
        <v>0</v>
      </c>
      <c r="AB28" s="15">
        <v>0</v>
      </c>
      <c r="AC28" s="15">
        <v>0</v>
      </c>
      <c r="AD28" s="15">
        <v>0</v>
      </c>
      <c r="AE28" s="15">
        <v>0</v>
      </c>
      <c r="AF28" s="15">
        <v>0</v>
      </c>
      <c r="AG28" s="15">
        <v>0</v>
      </c>
      <c r="AH28" s="15">
        <v>0</v>
      </c>
      <c r="AI28" s="15">
        <v>0</v>
      </c>
      <c r="AJ28" s="15">
        <v>0</v>
      </c>
      <c r="AK28" s="15">
        <v>0</v>
      </c>
      <c r="AL28" s="15"/>
    </row>
    <row r="29" spans="2:38" x14ac:dyDescent="0.2">
      <c r="B29" s="2" t="s">
        <v>360</v>
      </c>
      <c r="C29" s="15">
        <v>0</v>
      </c>
      <c r="D29" s="15">
        <f>'Datu ievade'!B65+'Datu ievade'!B74</f>
        <v>7457.27</v>
      </c>
      <c r="E29" s="15">
        <f>'Datu ievade'!C65+'Datu ievade'!C74</f>
        <v>116823.62</v>
      </c>
      <c r="F29" s="15">
        <f>'Datu ievade'!D65+'Datu ievade'!D74</f>
        <v>73567.3</v>
      </c>
      <c r="G29" s="15">
        <f>'Datu ievade'!E65+'Datu ievade'!E74</f>
        <v>109927.65</v>
      </c>
      <c r="H29" s="15">
        <f>'Datu ievade'!F65+'Datu ievade'!F74</f>
        <v>0</v>
      </c>
      <c r="I29" s="15">
        <f>'Datu ievade'!G65+'Datu ievade'!G74</f>
        <v>0</v>
      </c>
      <c r="J29" s="15">
        <f>'Datu ievade'!H65+'Datu ievade'!H74</f>
        <v>0</v>
      </c>
      <c r="K29" s="15">
        <v>0</v>
      </c>
      <c r="L29" s="15">
        <v>0</v>
      </c>
      <c r="M29" s="15">
        <v>0</v>
      </c>
      <c r="N29" s="15">
        <v>0</v>
      </c>
      <c r="O29" s="15">
        <v>0</v>
      </c>
      <c r="P29" s="15">
        <v>0</v>
      </c>
      <c r="Q29" s="15">
        <v>0</v>
      </c>
      <c r="R29" s="15">
        <v>0</v>
      </c>
      <c r="S29" s="15">
        <v>0</v>
      </c>
      <c r="T29" s="15">
        <v>0</v>
      </c>
      <c r="U29" s="15">
        <v>0</v>
      </c>
      <c r="V29" s="15">
        <v>0</v>
      </c>
      <c r="W29" s="15">
        <v>0</v>
      </c>
      <c r="X29" s="15">
        <v>0</v>
      </c>
      <c r="Y29" s="15">
        <v>0</v>
      </c>
      <c r="Z29" s="15">
        <v>0</v>
      </c>
      <c r="AA29" s="15">
        <v>0</v>
      </c>
      <c r="AB29" s="15">
        <v>0</v>
      </c>
      <c r="AC29" s="15">
        <v>0</v>
      </c>
      <c r="AD29" s="15">
        <v>0</v>
      </c>
      <c r="AE29" s="15">
        <v>0</v>
      </c>
      <c r="AF29" s="15">
        <v>0</v>
      </c>
      <c r="AG29" s="15">
        <v>0</v>
      </c>
      <c r="AH29" s="15">
        <v>0</v>
      </c>
      <c r="AI29" s="15">
        <v>0</v>
      </c>
      <c r="AJ29" s="15">
        <v>0</v>
      </c>
      <c r="AK29" s="15">
        <v>0</v>
      </c>
      <c r="AL29" s="15"/>
    </row>
    <row r="32" spans="2:38" x14ac:dyDescent="0.2">
      <c r="B32" s="16" t="s">
        <v>299</v>
      </c>
    </row>
    <row r="33" spans="2:38" x14ac:dyDescent="0.2">
      <c r="B33" s="2" t="s">
        <v>285</v>
      </c>
    </row>
    <row r="34" spans="2:38" x14ac:dyDescent="0.2">
      <c r="B34" s="2" t="s">
        <v>286</v>
      </c>
      <c r="C34" s="15">
        <f>'Datu ievade'!B127</f>
        <v>29155</v>
      </c>
      <c r="D34" s="15">
        <f>'Datu ievade'!B151</f>
        <v>21887.848993296277</v>
      </c>
      <c r="E34" s="15">
        <f>'Datu ievade'!C151</f>
        <v>21931.004394013402</v>
      </c>
      <c r="F34" s="15">
        <f>'Datu ievade'!D151</f>
        <v>21980.227990746695</v>
      </c>
      <c r="G34" s="15">
        <f>'Datu ievade'!E151</f>
        <v>22038.656477940676</v>
      </c>
      <c r="H34" s="15">
        <f>'Datu ievade'!F151</f>
        <v>22097.084965134658</v>
      </c>
      <c r="I34" s="15">
        <f>'Datu ievade'!G151</f>
        <v>22097.084965134658</v>
      </c>
      <c r="J34" s="15">
        <f>'Datu ievade'!H151</f>
        <v>22097.084965134658</v>
      </c>
      <c r="K34" s="15">
        <f>'Datu ievade'!I151</f>
        <v>22097.084965134658</v>
      </c>
      <c r="L34" s="15">
        <f>'Datu ievade'!J151</f>
        <v>22097.084965134658</v>
      </c>
      <c r="M34" s="15">
        <f>'Datu ievade'!K151</f>
        <v>22097.084965134658</v>
      </c>
      <c r="N34" s="15">
        <f>'Datu ievade'!L151</f>
        <v>22097.084965134658</v>
      </c>
      <c r="O34" s="15">
        <f>'Datu ievade'!M151</f>
        <v>22097.084965134658</v>
      </c>
      <c r="P34" s="15">
        <f>'Datu ievade'!N151</f>
        <v>22097.084965134658</v>
      </c>
      <c r="Q34" s="15">
        <f>'Datu ievade'!O151</f>
        <v>22097.084965134658</v>
      </c>
      <c r="R34" s="15">
        <f>'Datu ievade'!P151</f>
        <v>22097.084965134658</v>
      </c>
      <c r="S34" s="15">
        <f>'Datu ievade'!Q151</f>
        <v>26097.084965134658</v>
      </c>
      <c r="T34" s="15">
        <f>'Datu ievade'!R151</f>
        <v>26097.084965134658</v>
      </c>
      <c r="U34" s="15">
        <f>'Datu ievade'!S151</f>
        <v>26097.084965134658</v>
      </c>
      <c r="V34" s="15">
        <f>'Datu ievade'!T151</f>
        <v>26097.084965134658</v>
      </c>
      <c r="W34" s="15">
        <f>'Datu ievade'!U151</f>
        <v>26097.084965134658</v>
      </c>
      <c r="X34" s="15">
        <f>'Datu ievade'!V151</f>
        <v>26097.084965134658</v>
      </c>
      <c r="Y34" s="15">
        <f>'Datu ievade'!W151</f>
        <v>26097.084965134658</v>
      </c>
      <c r="Z34" s="15">
        <f>'Datu ievade'!X151</f>
        <v>26097.084965134658</v>
      </c>
      <c r="AA34" s="15">
        <f>'Datu ievade'!Y151</f>
        <v>26097.084965134658</v>
      </c>
      <c r="AB34" s="15">
        <f>'Datu ievade'!Z151</f>
        <v>26097.084965134658</v>
      </c>
      <c r="AC34" s="15">
        <f>'Datu ievade'!AA151</f>
        <v>26097.084965134658</v>
      </c>
      <c r="AD34" s="15">
        <f>'Datu ievade'!AB151</f>
        <v>26097.084965134658</v>
      </c>
      <c r="AE34" s="15">
        <f>'Datu ievade'!AC151</f>
        <v>26097.084965134658</v>
      </c>
      <c r="AF34" s="15">
        <f>'Datu ievade'!AD151</f>
        <v>26097.084965134658</v>
      </c>
      <c r="AG34" s="15">
        <f>'Datu ievade'!AE151</f>
        <v>26097.084965134658</v>
      </c>
      <c r="AH34" s="15">
        <f>'Datu ievade'!AF151</f>
        <v>26097.084965134658</v>
      </c>
      <c r="AI34" s="15">
        <f>'Datu ievade'!AG151</f>
        <v>26097.084965134658</v>
      </c>
      <c r="AJ34" s="15" t="e">
        <f>'Datu ievade'!#REF!</f>
        <v>#REF!</v>
      </c>
      <c r="AK34" s="15" t="e">
        <f>'Datu ievade'!#REF!</f>
        <v>#REF!</v>
      </c>
      <c r="AL34" s="15"/>
    </row>
    <row r="35" spans="2:38" x14ac:dyDescent="0.2">
      <c r="B35" s="2" t="s">
        <v>287</v>
      </c>
      <c r="C35" s="15">
        <f>'Datu ievade'!B128</f>
        <v>18226</v>
      </c>
      <c r="D35" s="15">
        <f>'Datu ievade'!B152</f>
        <v>18244.003235663087</v>
      </c>
      <c r="E35" s="15">
        <f>'Datu ievade'!C152</f>
        <v>18279.974210726043</v>
      </c>
      <c r="F35" s="15">
        <f>'Datu ievade'!D152</f>
        <v>18321.00316054876</v>
      </c>
      <c r="G35" s="15">
        <f>'Datu ievade'!E152</f>
        <v>18369.704588895984</v>
      </c>
      <c r="H35" s="15">
        <f>'Datu ievade'!F152</f>
        <v>18418.406017243207</v>
      </c>
      <c r="I35" s="15">
        <f>'Datu ievade'!G152</f>
        <v>18418.406017243207</v>
      </c>
      <c r="J35" s="15">
        <f>'Datu ievade'!H152</f>
        <v>18418.406017243207</v>
      </c>
      <c r="K35" s="15">
        <f>'Datu ievade'!I152</f>
        <v>18418.406017243207</v>
      </c>
      <c r="L35" s="15">
        <f>'Datu ievade'!J152</f>
        <v>18418.406017243207</v>
      </c>
      <c r="M35" s="15">
        <f>'Datu ievade'!K152</f>
        <v>18418.406017243207</v>
      </c>
      <c r="N35" s="15">
        <f>'Datu ievade'!L152</f>
        <v>18418.406017243207</v>
      </c>
      <c r="O35" s="15">
        <f>'Datu ievade'!M152</f>
        <v>18418.406017243207</v>
      </c>
      <c r="P35" s="15">
        <f>'Datu ievade'!N152</f>
        <v>18418.406017243207</v>
      </c>
      <c r="Q35" s="15">
        <f>'Datu ievade'!O152</f>
        <v>18418.406017243207</v>
      </c>
      <c r="R35" s="15">
        <f>'Datu ievade'!P152</f>
        <v>18418.406017243207</v>
      </c>
      <c r="S35" s="15">
        <f>'Datu ievade'!Q152</f>
        <v>18418.406017243207</v>
      </c>
      <c r="T35" s="15">
        <f>'Datu ievade'!R152</f>
        <v>18418.406017243207</v>
      </c>
      <c r="U35" s="15">
        <f>'Datu ievade'!S152</f>
        <v>18418.406017243207</v>
      </c>
      <c r="V35" s="15">
        <f>'Datu ievade'!T152</f>
        <v>18418.406017243207</v>
      </c>
      <c r="W35" s="15">
        <f>'Datu ievade'!U152</f>
        <v>18418.406017243207</v>
      </c>
      <c r="X35" s="15">
        <f>'Datu ievade'!V152</f>
        <v>18418.406017243207</v>
      </c>
      <c r="Y35" s="15">
        <f>'Datu ievade'!W152</f>
        <v>18418.406017243207</v>
      </c>
      <c r="Z35" s="15">
        <f>'Datu ievade'!X152</f>
        <v>18418.406017243207</v>
      </c>
      <c r="AA35" s="15">
        <f>'Datu ievade'!Y152</f>
        <v>18418.406017243207</v>
      </c>
      <c r="AB35" s="15">
        <f>'Datu ievade'!Z152</f>
        <v>18418.406017243207</v>
      </c>
      <c r="AC35" s="15">
        <f>'Datu ievade'!AA152</f>
        <v>18418.406017243207</v>
      </c>
      <c r="AD35" s="15">
        <f>'Datu ievade'!AB152</f>
        <v>18418.406017243207</v>
      </c>
      <c r="AE35" s="15">
        <f>'Datu ievade'!AC152</f>
        <v>18418.406017243207</v>
      </c>
      <c r="AF35" s="15">
        <f>'Datu ievade'!AD152</f>
        <v>18418.406017243207</v>
      </c>
      <c r="AG35" s="15">
        <f>'Datu ievade'!AE152</f>
        <v>18418.406017243207</v>
      </c>
      <c r="AH35" s="15">
        <f>'Datu ievade'!AF152</f>
        <v>18418.406017243207</v>
      </c>
      <c r="AI35" s="15">
        <f>'Datu ievade'!AG152</f>
        <v>18418.406017243207</v>
      </c>
      <c r="AJ35" s="15" t="e">
        <f>'Datu ievade'!#REF!</f>
        <v>#REF!</v>
      </c>
      <c r="AK35" s="15" t="e">
        <f>'Datu ievade'!#REF!</f>
        <v>#REF!</v>
      </c>
      <c r="AL35" s="15"/>
    </row>
    <row r="36" spans="2:38" x14ac:dyDescent="0.2">
      <c r="B36" s="2" t="s">
        <v>288</v>
      </c>
      <c r="C36" s="15">
        <f>'Datu ievade'!B129</f>
        <v>17882</v>
      </c>
      <c r="D36" s="15">
        <f>'Datu ievade'!B153</f>
        <v>17899.663440147444</v>
      </c>
      <c r="E36" s="15">
        <f>'Datu ievade'!C153</f>
        <v>17934.955494140406</v>
      </c>
      <c r="F36" s="15">
        <f>'Datu ievade'!D153</f>
        <v>17975.210057990389</v>
      </c>
      <c r="G36" s="15">
        <f>'Datu ievade'!E153</f>
        <v>18022.992288962905</v>
      </c>
      <c r="H36" s="15">
        <f>'Datu ievade'!F153</f>
        <v>18070.774519935421</v>
      </c>
      <c r="I36" s="15">
        <f>'Datu ievade'!G153</f>
        <v>18070.774519935421</v>
      </c>
      <c r="J36" s="15">
        <f>'Datu ievade'!H153</f>
        <v>18070.774519935421</v>
      </c>
      <c r="K36" s="15">
        <f>'Datu ievade'!I153</f>
        <v>18070.774519935421</v>
      </c>
      <c r="L36" s="15">
        <f>'Datu ievade'!J153</f>
        <v>18070.774519935421</v>
      </c>
      <c r="M36" s="15">
        <f>'Datu ievade'!K153</f>
        <v>18070.774519935421</v>
      </c>
      <c r="N36" s="15">
        <f>'Datu ievade'!L153</f>
        <v>18070.774519935421</v>
      </c>
      <c r="O36" s="15">
        <f>'Datu ievade'!M153</f>
        <v>18070.774519935421</v>
      </c>
      <c r="P36" s="15">
        <f>'Datu ievade'!N153</f>
        <v>18070.774519935421</v>
      </c>
      <c r="Q36" s="15">
        <f>'Datu ievade'!O153</f>
        <v>18070.774519935421</v>
      </c>
      <c r="R36" s="15">
        <f>'Datu ievade'!P153</f>
        <v>18070.774519935421</v>
      </c>
      <c r="S36" s="15">
        <f>'Datu ievade'!Q153</f>
        <v>18070.774519935421</v>
      </c>
      <c r="T36" s="15">
        <f>'Datu ievade'!R153</f>
        <v>18070.774519935421</v>
      </c>
      <c r="U36" s="15">
        <f>'Datu ievade'!S153</f>
        <v>18070.774519935421</v>
      </c>
      <c r="V36" s="15">
        <f>'Datu ievade'!T153</f>
        <v>18070.774519935421</v>
      </c>
      <c r="W36" s="15">
        <f>'Datu ievade'!U153</f>
        <v>18070.774519935421</v>
      </c>
      <c r="X36" s="15">
        <f>'Datu ievade'!V153</f>
        <v>18070.774519935421</v>
      </c>
      <c r="Y36" s="15">
        <f>'Datu ievade'!W153</f>
        <v>18070.774519935421</v>
      </c>
      <c r="Z36" s="15">
        <f>'Datu ievade'!X153</f>
        <v>18070.774519935421</v>
      </c>
      <c r="AA36" s="15">
        <f>'Datu ievade'!Y153</f>
        <v>18070.774519935421</v>
      </c>
      <c r="AB36" s="15">
        <f>'Datu ievade'!Z153</f>
        <v>18070.774519935421</v>
      </c>
      <c r="AC36" s="15">
        <f>'Datu ievade'!AA153</f>
        <v>18070.774519935421</v>
      </c>
      <c r="AD36" s="15">
        <f>'Datu ievade'!AB153</f>
        <v>18070.774519935421</v>
      </c>
      <c r="AE36" s="15">
        <f>'Datu ievade'!AC153</f>
        <v>18070.774519935421</v>
      </c>
      <c r="AF36" s="15">
        <f>'Datu ievade'!AD153</f>
        <v>18070.774519935421</v>
      </c>
      <c r="AG36" s="15">
        <f>'Datu ievade'!AE153</f>
        <v>18070.774519935421</v>
      </c>
      <c r="AH36" s="15">
        <f>'Datu ievade'!AF153</f>
        <v>18070.774519935421</v>
      </c>
      <c r="AI36" s="15">
        <f>'Datu ievade'!AG153</f>
        <v>18070.774519935421</v>
      </c>
      <c r="AJ36" s="15" t="e">
        <f>'Datu ievade'!#REF!</f>
        <v>#REF!</v>
      </c>
      <c r="AK36" s="15" t="e">
        <f>'Datu ievade'!#REF!</f>
        <v>#REF!</v>
      </c>
      <c r="AL36" s="15"/>
    </row>
    <row r="37" spans="2:38" x14ac:dyDescent="0.2">
      <c r="B37" s="2" t="s">
        <v>289</v>
      </c>
      <c r="C37" s="15">
        <f>'Datu ievade'!B130</f>
        <v>21284</v>
      </c>
      <c r="D37" s="15">
        <f>'Datu ievade'!B154</f>
        <v>21305.023859752724</v>
      </c>
      <c r="E37" s="15">
        <f>'Datu ievade'!C154</f>
        <v>21347.030127350656</v>
      </c>
      <c r="F37" s="15">
        <f>'Datu ievade'!D154</f>
        <v>21394.943008291437</v>
      </c>
      <c r="G37" s="15">
        <f>'Datu ievade'!E154</f>
        <v>21451.815673766163</v>
      </c>
      <c r="H37" s="15">
        <f>'Datu ievade'!F154</f>
        <v>21508.688339240889</v>
      </c>
      <c r="I37" s="15">
        <f>'Datu ievade'!G154</f>
        <v>21508.688339240889</v>
      </c>
      <c r="J37" s="15">
        <f>'Datu ievade'!H154</f>
        <v>21508.688339240889</v>
      </c>
      <c r="K37" s="15">
        <f>'Datu ievade'!I154</f>
        <v>21508.688339240889</v>
      </c>
      <c r="L37" s="15">
        <f>'Datu ievade'!J154</f>
        <v>21508.688339240889</v>
      </c>
      <c r="M37" s="15">
        <f>'Datu ievade'!K154</f>
        <v>21508.688339240889</v>
      </c>
      <c r="N37" s="15">
        <f>'Datu ievade'!L154</f>
        <v>21508.688339240889</v>
      </c>
      <c r="O37" s="15">
        <f>'Datu ievade'!M154</f>
        <v>21508.688339240889</v>
      </c>
      <c r="P37" s="15">
        <f>'Datu ievade'!N154</f>
        <v>21508.688339240889</v>
      </c>
      <c r="Q37" s="15">
        <f>'Datu ievade'!O154</f>
        <v>21508.688339240889</v>
      </c>
      <c r="R37" s="15">
        <f>'Datu ievade'!P154</f>
        <v>21508.688339240889</v>
      </c>
      <c r="S37" s="15">
        <f>'Datu ievade'!Q154</f>
        <v>21508.688339240889</v>
      </c>
      <c r="T37" s="15">
        <f>'Datu ievade'!R154</f>
        <v>21508.688339240889</v>
      </c>
      <c r="U37" s="15">
        <f>'Datu ievade'!S154</f>
        <v>21508.688339240889</v>
      </c>
      <c r="V37" s="15">
        <f>'Datu ievade'!T154</f>
        <v>21508.688339240889</v>
      </c>
      <c r="W37" s="15">
        <f>'Datu ievade'!U154</f>
        <v>21508.688339240889</v>
      </c>
      <c r="X37" s="15">
        <f>'Datu ievade'!V154</f>
        <v>21508.688339240889</v>
      </c>
      <c r="Y37" s="15">
        <f>'Datu ievade'!W154</f>
        <v>21508.688339240889</v>
      </c>
      <c r="Z37" s="15">
        <f>'Datu ievade'!X154</f>
        <v>21508.688339240889</v>
      </c>
      <c r="AA37" s="15">
        <f>'Datu ievade'!Y154</f>
        <v>21508.688339240889</v>
      </c>
      <c r="AB37" s="15">
        <f>'Datu ievade'!Z154</f>
        <v>21508.688339240889</v>
      </c>
      <c r="AC37" s="15">
        <f>'Datu ievade'!AA154</f>
        <v>21508.688339240889</v>
      </c>
      <c r="AD37" s="15">
        <f>'Datu ievade'!AB154</f>
        <v>21508.688339240889</v>
      </c>
      <c r="AE37" s="15">
        <f>'Datu ievade'!AC154</f>
        <v>21508.688339240889</v>
      </c>
      <c r="AF37" s="15">
        <f>'Datu ievade'!AD154</f>
        <v>21508.688339240889</v>
      </c>
      <c r="AG37" s="15">
        <f>'Datu ievade'!AE154</f>
        <v>21508.688339240889</v>
      </c>
      <c r="AH37" s="15">
        <f>'Datu ievade'!AF154</f>
        <v>21508.688339240889</v>
      </c>
      <c r="AI37" s="15">
        <f>'Datu ievade'!AG154</f>
        <v>21508.688339240889</v>
      </c>
      <c r="AJ37" s="15" t="e">
        <f>'Datu ievade'!#REF!</f>
        <v>#REF!</v>
      </c>
      <c r="AK37" s="15" t="e">
        <f>'Datu ievade'!#REF!</f>
        <v>#REF!</v>
      </c>
      <c r="AL37" s="15"/>
    </row>
    <row r="38" spans="2:38" ht="22.5" x14ac:dyDescent="0.2">
      <c r="B38" s="2" t="s">
        <v>290</v>
      </c>
      <c r="C38" s="15">
        <f>'Datu ievade'!B131</f>
        <v>10502</v>
      </c>
      <c r="D38" s="15" t="e">
        <f>'Datu ievade'!#REF!+'Datu ievade'!B155</f>
        <v>#REF!</v>
      </c>
      <c r="E38" s="15" t="e">
        <f>'Datu ievade'!#REF!+'Datu ievade'!C155</f>
        <v>#REF!</v>
      </c>
      <c r="F38" s="15" t="e">
        <f>'Datu ievade'!#REF!+'Datu ievade'!D155</f>
        <v>#REF!</v>
      </c>
      <c r="G38" s="15" t="e">
        <f>'Datu ievade'!#REF!+'Datu ievade'!E155</f>
        <v>#REF!</v>
      </c>
      <c r="H38" s="15" t="e">
        <f>'Datu ievade'!#REF!+'Datu ievade'!F155</f>
        <v>#REF!</v>
      </c>
      <c r="I38" s="15" t="e">
        <f>'Datu ievade'!#REF!+'Datu ievade'!G155</f>
        <v>#REF!</v>
      </c>
      <c r="J38" s="15" t="e">
        <f>'Datu ievade'!#REF!+'Datu ievade'!H155</f>
        <v>#REF!</v>
      </c>
      <c r="K38" s="15" t="e">
        <f>'Datu ievade'!#REF!+'Datu ievade'!I155</f>
        <v>#REF!</v>
      </c>
      <c r="L38" s="15" t="e">
        <f>'Datu ievade'!#REF!+'Datu ievade'!J155</f>
        <v>#REF!</v>
      </c>
      <c r="M38" s="15" t="e">
        <f>'Datu ievade'!#REF!+'Datu ievade'!K155</f>
        <v>#REF!</v>
      </c>
      <c r="N38" s="15" t="e">
        <f>'Datu ievade'!#REF!+'Datu ievade'!L155</f>
        <v>#REF!</v>
      </c>
      <c r="O38" s="15" t="e">
        <f>'Datu ievade'!#REF!+'Datu ievade'!M155</f>
        <v>#REF!</v>
      </c>
      <c r="P38" s="15" t="e">
        <f>'Datu ievade'!#REF!+'Datu ievade'!N155</f>
        <v>#REF!</v>
      </c>
      <c r="Q38" s="15" t="e">
        <f>'Datu ievade'!#REF!+'Datu ievade'!O155</f>
        <v>#REF!</v>
      </c>
      <c r="R38" s="15" t="e">
        <f>'Datu ievade'!#REF!+'Datu ievade'!P155</f>
        <v>#REF!</v>
      </c>
      <c r="S38" s="15" t="e">
        <f>'Datu ievade'!#REF!+'Datu ievade'!Q155</f>
        <v>#REF!</v>
      </c>
      <c r="T38" s="15" t="e">
        <f>'Datu ievade'!#REF!+'Datu ievade'!R155</f>
        <v>#REF!</v>
      </c>
      <c r="U38" s="15" t="e">
        <f>'Datu ievade'!#REF!+'Datu ievade'!S155</f>
        <v>#REF!</v>
      </c>
      <c r="V38" s="15" t="e">
        <f>'Datu ievade'!#REF!+'Datu ievade'!T155</f>
        <v>#REF!</v>
      </c>
      <c r="W38" s="15" t="e">
        <f>'Datu ievade'!#REF!+'Datu ievade'!U155</f>
        <v>#REF!</v>
      </c>
      <c r="X38" s="15" t="e">
        <f>'Datu ievade'!#REF!+'Datu ievade'!V155</f>
        <v>#REF!</v>
      </c>
      <c r="Y38" s="15" t="e">
        <f>'Datu ievade'!#REF!+'Datu ievade'!W155</f>
        <v>#REF!</v>
      </c>
      <c r="Z38" s="15" t="e">
        <f>'Datu ievade'!#REF!+'Datu ievade'!X155</f>
        <v>#REF!</v>
      </c>
      <c r="AA38" s="15" t="e">
        <f>'Datu ievade'!#REF!+'Datu ievade'!Y155</f>
        <v>#REF!</v>
      </c>
      <c r="AB38" s="15" t="e">
        <f>'Datu ievade'!#REF!+'Datu ievade'!Z155</f>
        <v>#REF!</v>
      </c>
      <c r="AC38" s="15" t="e">
        <f>'Datu ievade'!#REF!+'Datu ievade'!AA155</f>
        <v>#REF!</v>
      </c>
      <c r="AD38" s="15" t="e">
        <f>'Datu ievade'!#REF!+'Datu ievade'!AB155</f>
        <v>#REF!</v>
      </c>
      <c r="AE38" s="15" t="e">
        <f>'Datu ievade'!#REF!+'Datu ievade'!AC155</f>
        <v>#REF!</v>
      </c>
      <c r="AF38" s="15" t="e">
        <f>'Datu ievade'!#REF!+'Datu ievade'!AD155</f>
        <v>#REF!</v>
      </c>
      <c r="AG38" s="15" t="e">
        <f>'Datu ievade'!#REF!+'Datu ievade'!AE155</f>
        <v>#REF!</v>
      </c>
      <c r="AH38" s="15" t="e">
        <f>'Datu ievade'!#REF!+'Datu ievade'!AF155</f>
        <v>#REF!</v>
      </c>
      <c r="AI38" s="15" t="e">
        <f>'Datu ievade'!#REF!+'Datu ievade'!AG155</f>
        <v>#REF!</v>
      </c>
      <c r="AJ38" s="15" t="e">
        <f>'Datu ievade'!#REF!+'Datu ievade'!#REF!</f>
        <v>#REF!</v>
      </c>
      <c r="AK38" s="15" t="e">
        <f>'Datu ievade'!#REF!+'Datu ievade'!#REF!</f>
        <v>#REF!</v>
      </c>
      <c r="AL38" s="15"/>
    </row>
    <row r="39" spans="2:38" x14ac:dyDescent="0.2">
      <c r="B39" s="2" t="s">
        <v>291</v>
      </c>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row>
    <row r="40" spans="2:38" x14ac:dyDescent="0.2">
      <c r="B40" s="2" t="s">
        <v>292</v>
      </c>
      <c r="C40" s="15">
        <f>'Datu ievade'!B133</f>
        <v>107237</v>
      </c>
      <c r="D40" s="15">
        <f>'Datu ievade'!B157</f>
        <v>107237</v>
      </c>
      <c r="E40" s="15">
        <f>'Datu ievade'!C157</f>
        <v>107237</v>
      </c>
      <c r="F40" s="15">
        <f>'Datu ievade'!D157</f>
        <v>107237</v>
      </c>
      <c r="G40" s="15">
        <f>'Datu ievade'!E157</f>
        <v>107237</v>
      </c>
      <c r="H40" s="15">
        <f>'Datu ievade'!F157</f>
        <v>107237</v>
      </c>
      <c r="I40" s="15">
        <f>'Datu ievade'!G157</f>
        <v>107237</v>
      </c>
      <c r="J40" s="15">
        <f>'Datu ievade'!H157</f>
        <v>107237</v>
      </c>
      <c r="K40" s="15">
        <f>'Datu ievade'!I157</f>
        <v>107237</v>
      </c>
      <c r="L40" s="15">
        <f>'Datu ievade'!J157</f>
        <v>107237</v>
      </c>
      <c r="M40" s="15">
        <f>'Datu ievade'!K157</f>
        <v>107237</v>
      </c>
      <c r="N40" s="15">
        <f>'Datu ievade'!L157</f>
        <v>107237</v>
      </c>
      <c r="O40" s="15">
        <f>'Datu ievade'!M157</f>
        <v>107237</v>
      </c>
      <c r="P40" s="15">
        <f>'Datu ievade'!N157</f>
        <v>107237</v>
      </c>
      <c r="Q40" s="15">
        <f>'Datu ievade'!O157</f>
        <v>107237</v>
      </c>
      <c r="R40" s="15">
        <f>'Datu ievade'!P157</f>
        <v>107237</v>
      </c>
      <c r="S40" s="15">
        <f>'Datu ievade'!Q157</f>
        <v>107237</v>
      </c>
      <c r="T40" s="15">
        <f>'Datu ievade'!R157</f>
        <v>107237</v>
      </c>
      <c r="U40" s="15">
        <f>'Datu ievade'!S157</f>
        <v>107237</v>
      </c>
      <c r="V40" s="15">
        <f>'Datu ievade'!T157</f>
        <v>107237</v>
      </c>
      <c r="W40" s="15">
        <f>'Datu ievade'!U157</f>
        <v>107237</v>
      </c>
      <c r="X40" s="15">
        <f>'Datu ievade'!V157</f>
        <v>107237</v>
      </c>
      <c r="Y40" s="15">
        <f>'Datu ievade'!W157</f>
        <v>107237</v>
      </c>
      <c r="Z40" s="15">
        <f>'Datu ievade'!X157</f>
        <v>107237</v>
      </c>
      <c r="AA40" s="15">
        <f>'Datu ievade'!Y157</f>
        <v>107237</v>
      </c>
      <c r="AB40" s="15">
        <f>'Datu ievade'!Z157</f>
        <v>107237</v>
      </c>
      <c r="AC40" s="15">
        <f>'Datu ievade'!AA157</f>
        <v>107237</v>
      </c>
      <c r="AD40" s="15">
        <f>'Datu ievade'!AB157</f>
        <v>107237</v>
      </c>
      <c r="AE40" s="15">
        <f>'Datu ievade'!AC157</f>
        <v>107237</v>
      </c>
      <c r="AF40" s="15">
        <f>'Datu ievade'!AD157</f>
        <v>107237</v>
      </c>
      <c r="AG40" s="15">
        <f>'Datu ievade'!AE157</f>
        <v>107237</v>
      </c>
      <c r="AH40" s="15">
        <f>'Datu ievade'!AF157</f>
        <v>107237</v>
      </c>
      <c r="AI40" s="15">
        <f>'Datu ievade'!AG157</f>
        <v>107237</v>
      </c>
      <c r="AJ40" s="15" t="e">
        <f>'Datu ievade'!#REF!</f>
        <v>#REF!</v>
      </c>
      <c r="AK40" s="15" t="e">
        <f>'Datu ievade'!#REF!</f>
        <v>#REF!</v>
      </c>
      <c r="AL40" s="15"/>
    </row>
    <row r="41" spans="2:38" x14ac:dyDescent="0.2">
      <c r="B41" s="2" t="s">
        <v>293</v>
      </c>
      <c r="C41" s="15">
        <f>'Datu ievade'!B134</f>
        <v>25833.3933</v>
      </c>
      <c r="D41" s="15">
        <f>'Datu ievade'!B158</f>
        <v>25833.3933</v>
      </c>
      <c r="E41" s="15">
        <f>'Datu ievade'!C158</f>
        <v>25833.3933</v>
      </c>
      <c r="F41" s="15">
        <f>'Datu ievade'!D158</f>
        <v>25833.3933</v>
      </c>
      <c r="G41" s="15">
        <f>'Datu ievade'!E158</f>
        <v>25833.3933</v>
      </c>
      <c r="H41" s="15">
        <f>'Datu ievade'!F158</f>
        <v>25833.3933</v>
      </c>
      <c r="I41" s="15">
        <f>'Datu ievade'!G158</f>
        <v>25833.3933</v>
      </c>
      <c r="J41" s="15">
        <f>'Datu ievade'!H158</f>
        <v>25833.3933</v>
      </c>
      <c r="K41" s="15">
        <f>'Datu ievade'!I158</f>
        <v>25833.3933</v>
      </c>
      <c r="L41" s="15">
        <f>'Datu ievade'!J158</f>
        <v>25833.3933</v>
      </c>
      <c r="M41" s="15">
        <f>'Datu ievade'!K158</f>
        <v>25833.3933</v>
      </c>
      <c r="N41" s="15">
        <f>'Datu ievade'!L158</f>
        <v>25833.3933</v>
      </c>
      <c r="O41" s="15">
        <f>'Datu ievade'!M158</f>
        <v>25833.3933</v>
      </c>
      <c r="P41" s="15">
        <f>'Datu ievade'!N158</f>
        <v>25833.3933</v>
      </c>
      <c r="Q41" s="15">
        <f>'Datu ievade'!O158</f>
        <v>25833.3933</v>
      </c>
      <c r="R41" s="15">
        <f>'Datu ievade'!P158</f>
        <v>25833.3933</v>
      </c>
      <c r="S41" s="15">
        <f>'Datu ievade'!Q158</f>
        <v>25833.3933</v>
      </c>
      <c r="T41" s="15">
        <f>'Datu ievade'!R158</f>
        <v>25833.3933</v>
      </c>
      <c r="U41" s="15">
        <f>'Datu ievade'!S158</f>
        <v>25833.3933</v>
      </c>
      <c r="V41" s="15">
        <f>'Datu ievade'!T158</f>
        <v>25833.3933</v>
      </c>
      <c r="W41" s="15">
        <f>'Datu ievade'!U158</f>
        <v>25833.3933</v>
      </c>
      <c r="X41" s="15">
        <f>'Datu ievade'!V158</f>
        <v>25833.3933</v>
      </c>
      <c r="Y41" s="15">
        <f>'Datu ievade'!W158</f>
        <v>25833.3933</v>
      </c>
      <c r="Z41" s="15">
        <f>'Datu ievade'!X158</f>
        <v>25833.3933</v>
      </c>
      <c r="AA41" s="15">
        <f>'Datu ievade'!Y158</f>
        <v>25833.3933</v>
      </c>
      <c r="AB41" s="15">
        <f>'Datu ievade'!Z158</f>
        <v>25833.3933</v>
      </c>
      <c r="AC41" s="15">
        <f>'Datu ievade'!AA158</f>
        <v>25833.3933</v>
      </c>
      <c r="AD41" s="15">
        <f>'Datu ievade'!AB158</f>
        <v>25833.3933</v>
      </c>
      <c r="AE41" s="15">
        <f>'Datu ievade'!AC158</f>
        <v>25833.3933</v>
      </c>
      <c r="AF41" s="15">
        <f>'Datu ievade'!AD158</f>
        <v>25833.3933</v>
      </c>
      <c r="AG41" s="15">
        <f>'Datu ievade'!AE158</f>
        <v>25833.3933</v>
      </c>
      <c r="AH41" s="15">
        <f>'Datu ievade'!AF158</f>
        <v>25833.3933</v>
      </c>
      <c r="AI41" s="15">
        <f>'Datu ievade'!AG158</f>
        <v>25833.3933</v>
      </c>
      <c r="AJ41" s="15" t="e">
        <f>'Datu ievade'!#REF!</f>
        <v>#REF!</v>
      </c>
      <c r="AK41" s="15" t="e">
        <f>'Datu ievade'!#REF!</f>
        <v>#REF!</v>
      </c>
      <c r="AL41" s="15"/>
    </row>
    <row r="42" spans="2:38" x14ac:dyDescent="0.2">
      <c r="B42" s="2" t="s">
        <v>294</v>
      </c>
      <c r="C42" s="15">
        <f>'Datu ievade'!B135</f>
        <v>956</v>
      </c>
      <c r="D42" s="15">
        <f>'Datu ievade'!B159</f>
        <v>956</v>
      </c>
      <c r="E42" s="15">
        <f>'Datu ievade'!C159</f>
        <v>956</v>
      </c>
      <c r="F42" s="15">
        <f>'Datu ievade'!D159</f>
        <v>956</v>
      </c>
      <c r="G42" s="15">
        <f>'Datu ievade'!E159</f>
        <v>956</v>
      </c>
      <c r="H42" s="15">
        <f>'Datu ievade'!F159</f>
        <v>956</v>
      </c>
      <c r="I42" s="15">
        <f>'Datu ievade'!G159</f>
        <v>956</v>
      </c>
      <c r="J42" s="15">
        <f>'Datu ievade'!H159</f>
        <v>956</v>
      </c>
      <c r="K42" s="15">
        <f>'Datu ievade'!I159</f>
        <v>956</v>
      </c>
      <c r="L42" s="15">
        <f>'Datu ievade'!J159</f>
        <v>956</v>
      </c>
      <c r="M42" s="15">
        <f>'Datu ievade'!K159</f>
        <v>956</v>
      </c>
      <c r="N42" s="15">
        <f>'Datu ievade'!L159</f>
        <v>956</v>
      </c>
      <c r="O42" s="15">
        <f>'Datu ievade'!M159</f>
        <v>956</v>
      </c>
      <c r="P42" s="15">
        <f>'Datu ievade'!N159</f>
        <v>956</v>
      </c>
      <c r="Q42" s="15">
        <f>'Datu ievade'!O159</f>
        <v>956</v>
      </c>
      <c r="R42" s="15">
        <f>'Datu ievade'!P159</f>
        <v>956</v>
      </c>
      <c r="S42" s="15">
        <f>'Datu ievade'!Q159</f>
        <v>956</v>
      </c>
      <c r="T42" s="15">
        <f>'Datu ievade'!R159</f>
        <v>956</v>
      </c>
      <c r="U42" s="15">
        <f>'Datu ievade'!S159</f>
        <v>956</v>
      </c>
      <c r="V42" s="15">
        <f>'Datu ievade'!T159</f>
        <v>956</v>
      </c>
      <c r="W42" s="15">
        <f>'Datu ievade'!U159</f>
        <v>956</v>
      </c>
      <c r="X42" s="15">
        <f>'Datu ievade'!V159</f>
        <v>956</v>
      </c>
      <c r="Y42" s="15">
        <f>'Datu ievade'!W159</f>
        <v>956</v>
      </c>
      <c r="Z42" s="15">
        <f>'Datu ievade'!X159</f>
        <v>956</v>
      </c>
      <c r="AA42" s="15">
        <f>'Datu ievade'!Y159</f>
        <v>956</v>
      </c>
      <c r="AB42" s="15">
        <f>'Datu ievade'!Z159</f>
        <v>956</v>
      </c>
      <c r="AC42" s="15">
        <f>'Datu ievade'!AA159</f>
        <v>956</v>
      </c>
      <c r="AD42" s="15">
        <f>'Datu ievade'!AB159</f>
        <v>956</v>
      </c>
      <c r="AE42" s="15">
        <f>'Datu ievade'!AC159</f>
        <v>956</v>
      </c>
      <c r="AF42" s="15">
        <f>'Datu ievade'!AD159</f>
        <v>956</v>
      </c>
      <c r="AG42" s="15">
        <f>'Datu ievade'!AE159</f>
        <v>956</v>
      </c>
      <c r="AH42" s="15">
        <f>'Datu ievade'!AF159</f>
        <v>956</v>
      </c>
      <c r="AI42" s="15">
        <f>'Datu ievade'!AG159</f>
        <v>956</v>
      </c>
      <c r="AJ42" s="15" t="e">
        <f>'Datu ievade'!#REF!</f>
        <v>#REF!</v>
      </c>
      <c r="AK42" s="15" t="e">
        <f>'Datu ievade'!#REF!</f>
        <v>#REF!</v>
      </c>
      <c r="AL42" s="15"/>
    </row>
    <row r="43" spans="2:38" x14ac:dyDescent="0.2">
      <c r="B43" s="17" t="s">
        <v>295</v>
      </c>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row>
    <row r="44" spans="2:38" x14ac:dyDescent="0.2">
      <c r="B44" s="2" t="s">
        <v>285</v>
      </c>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row>
    <row r="45" spans="2:38" x14ac:dyDescent="0.2">
      <c r="B45" s="2" t="s">
        <v>286</v>
      </c>
      <c r="C45" s="15">
        <f>'Datu ievade'!B138</f>
        <v>31419</v>
      </c>
      <c r="D45" s="15">
        <f>'Datu ievade'!B162</f>
        <v>15742.909755285549</v>
      </c>
      <c r="E45" s="15">
        <f>'Datu ievade'!C162</f>
        <v>15771.977505037859</v>
      </c>
      <c r="F45" s="15">
        <f>'Datu ievade'!D162</f>
        <v>15810.886217373174</v>
      </c>
      <c r="G45" s="15">
        <f>'Datu ievade'!E162</f>
        <v>15849.294971928757</v>
      </c>
      <c r="H45" s="15">
        <f>'Datu ievade'!F162</f>
        <v>15888.213133931358</v>
      </c>
      <c r="I45" s="15">
        <f>'Datu ievade'!G162</f>
        <v>15888.213133931358</v>
      </c>
      <c r="J45" s="15">
        <f>'Datu ievade'!H162</f>
        <v>15888.213133931358</v>
      </c>
      <c r="K45" s="15">
        <f>'Datu ievade'!I162</f>
        <v>15888.213133931358</v>
      </c>
      <c r="L45" s="15">
        <f>'Datu ievade'!J162</f>
        <v>15888.213133931358</v>
      </c>
      <c r="M45" s="15">
        <f>'Datu ievade'!K162</f>
        <v>15888.213133931358</v>
      </c>
      <c r="N45" s="15">
        <f>'Datu ievade'!L162</f>
        <v>15888.213133931358</v>
      </c>
      <c r="O45" s="15">
        <f>'Datu ievade'!M162</f>
        <v>15888.213133931358</v>
      </c>
      <c r="P45" s="15">
        <f>'Datu ievade'!N162</f>
        <v>15888.213133931358</v>
      </c>
      <c r="Q45" s="15">
        <f>'Datu ievade'!O162</f>
        <v>15888.213133931358</v>
      </c>
      <c r="R45" s="15">
        <f>'Datu ievade'!P162</f>
        <v>15888.213133931358</v>
      </c>
      <c r="S45" s="15">
        <f>'Datu ievade'!Q162</f>
        <v>65888.213133931364</v>
      </c>
      <c r="T45" s="15">
        <f>'Datu ievade'!R162</f>
        <v>65888.213133931364</v>
      </c>
      <c r="U45" s="15">
        <f>'Datu ievade'!S162</f>
        <v>65888.213133931364</v>
      </c>
      <c r="V45" s="15">
        <f>'Datu ievade'!T162</f>
        <v>65888.213133931364</v>
      </c>
      <c r="W45" s="15">
        <f>'Datu ievade'!U162</f>
        <v>75888.213133931364</v>
      </c>
      <c r="X45" s="15">
        <f>'Datu ievade'!V162</f>
        <v>75888.213133931364</v>
      </c>
      <c r="Y45" s="15">
        <f>'Datu ievade'!W162</f>
        <v>75888.213133931364</v>
      </c>
      <c r="Z45" s="15">
        <f>'Datu ievade'!X162</f>
        <v>75888.213133931364</v>
      </c>
      <c r="AA45" s="15">
        <f>'Datu ievade'!Y162</f>
        <v>75888.213133931364</v>
      </c>
      <c r="AB45" s="15">
        <f>'Datu ievade'!Z162</f>
        <v>75888.213133931364</v>
      </c>
      <c r="AC45" s="15">
        <f>'Datu ievade'!AA162</f>
        <v>75888.213133931364</v>
      </c>
      <c r="AD45" s="15">
        <f>'Datu ievade'!AB162</f>
        <v>75888.213133931364</v>
      </c>
      <c r="AE45" s="15">
        <f>'Datu ievade'!AC162</f>
        <v>75888.213133931364</v>
      </c>
      <c r="AF45" s="15">
        <f>'Datu ievade'!AD162</f>
        <v>75888.213133931364</v>
      </c>
      <c r="AG45" s="15">
        <f>'Datu ievade'!AE162</f>
        <v>75888.213133931364</v>
      </c>
      <c r="AH45" s="15">
        <f>'Datu ievade'!AF162</f>
        <v>75888.213133931364</v>
      </c>
      <c r="AI45" s="15">
        <f>'Datu ievade'!AG162</f>
        <v>75888.213133931364</v>
      </c>
      <c r="AJ45" s="15" t="e">
        <f>'Datu ievade'!#REF!</f>
        <v>#REF!</v>
      </c>
      <c r="AK45" s="15" t="e">
        <f>'Datu ievade'!#REF!</f>
        <v>#REF!</v>
      </c>
      <c r="AL45" s="15"/>
    </row>
    <row r="46" spans="2:38" x14ac:dyDescent="0.2">
      <c r="B46" s="2" t="s">
        <v>287</v>
      </c>
      <c r="C46" s="15">
        <f>'Datu ievade'!B139</f>
        <v>77622</v>
      </c>
      <c r="D46" s="15">
        <f>'Datu ievade'!B163</f>
        <v>77787.080494272566</v>
      </c>
      <c r="E46" s="15">
        <f>'Datu ievade'!C163</f>
        <v>77930.706763171882</v>
      </c>
      <c r="F46" s="15">
        <f>'Datu ievade'!D163</f>
        <v>78122.958080457072</v>
      </c>
      <c r="G46" s="15">
        <f>'Datu ievade'!E163</f>
        <v>78312.739063054454</v>
      </c>
      <c r="H46" s="15">
        <f>'Datu ievade'!F163</f>
        <v>78505.037071964092</v>
      </c>
      <c r="I46" s="15">
        <f>'Datu ievade'!G163</f>
        <v>78505.037071964092</v>
      </c>
      <c r="J46" s="15">
        <f>'Datu ievade'!H163</f>
        <v>78505.037071964092</v>
      </c>
      <c r="K46" s="15">
        <f>'Datu ievade'!I163</f>
        <v>78505.037071964092</v>
      </c>
      <c r="L46" s="15">
        <f>'Datu ievade'!J163</f>
        <v>78505.037071964092</v>
      </c>
      <c r="M46" s="15">
        <f>'Datu ievade'!K163</f>
        <v>78505.037071964092</v>
      </c>
      <c r="N46" s="15">
        <f>'Datu ievade'!L163</f>
        <v>78505.037071964092</v>
      </c>
      <c r="O46" s="15">
        <f>'Datu ievade'!M163</f>
        <v>78505.037071964092</v>
      </c>
      <c r="P46" s="15">
        <f>'Datu ievade'!N163</f>
        <v>78505.037071964092</v>
      </c>
      <c r="Q46" s="15">
        <f>'Datu ievade'!O163</f>
        <v>78505.037071964092</v>
      </c>
      <c r="R46" s="15">
        <f>'Datu ievade'!P163</f>
        <v>78505.037071964092</v>
      </c>
      <c r="S46" s="15">
        <f>'Datu ievade'!Q163</f>
        <v>78505.037071964092</v>
      </c>
      <c r="T46" s="15">
        <f>'Datu ievade'!R163</f>
        <v>78505.037071964092</v>
      </c>
      <c r="U46" s="15">
        <f>'Datu ievade'!S163</f>
        <v>78505.037071964092</v>
      </c>
      <c r="V46" s="15">
        <f>'Datu ievade'!T163</f>
        <v>78505.037071964092</v>
      </c>
      <c r="W46" s="15">
        <f>'Datu ievade'!U163</f>
        <v>78505.037071964092</v>
      </c>
      <c r="X46" s="15">
        <f>'Datu ievade'!V163</f>
        <v>78505.037071964092</v>
      </c>
      <c r="Y46" s="15">
        <f>'Datu ievade'!W163</f>
        <v>78505.037071964092</v>
      </c>
      <c r="Z46" s="15">
        <f>'Datu ievade'!X163</f>
        <v>78505.037071964092</v>
      </c>
      <c r="AA46" s="15">
        <f>'Datu ievade'!Y163</f>
        <v>78505.037071964092</v>
      </c>
      <c r="AB46" s="15">
        <f>'Datu ievade'!Z163</f>
        <v>78505.037071964092</v>
      </c>
      <c r="AC46" s="15">
        <f>'Datu ievade'!AA163</f>
        <v>78505.037071964092</v>
      </c>
      <c r="AD46" s="15">
        <f>'Datu ievade'!AB163</f>
        <v>78505.037071964092</v>
      </c>
      <c r="AE46" s="15">
        <f>'Datu ievade'!AC163</f>
        <v>78505.037071964092</v>
      </c>
      <c r="AF46" s="15">
        <f>'Datu ievade'!AD163</f>
        <v>78505.037071964092</v>
      </c>
      <c r="AG46" s="15">
        <f>'Datu ievade'!AE163</f>
        <v>78505.037071964092</v>
      </c>
      <c r="AH46" s="15">
        <f>'Datu ievade'!AF163</f>
        <v>78505.037071964092</v>
      </c>
      <c r="AI46" s="15">
        <f>'Datu ievade'!AG163</f>
        <v>78505.037071964092</v>
      </c>
      <c r="AJ46" s="15" t="e">
        <f>'Datu ievade'!#REF!</f>
        <v>#REF!</v>
      </c>
      <c r="AK46" s="15" t="e">
        <f>'Datu ievade'!#REF!</f>
        <v>#REF!</v>
      </c>
      <c r="AL46" s="15"/>
    </row>
    <row r="47" spans="2:38" x14ac:dyDescent="0.2">
      <c r="B47" s="2" t="s">
        <v>288</v>
      </c>
      <c r="C47" s="15">
        <f>'Datu ievade'!B140</f>
        <v>1918</v>
      </c>
      <c r="D47" s="15">
        <f>'Datu ievade'!B164</f>
        <v>1922.0790547527092</v>
      </c>
      <c r="E47" s="15">
        <f>'Datu ievade'!C164</f>
        <v>1925.6279865471604</v>
      </c>
      <c r="F47" s="15">
        <f>'Datu ievade'!D164</f>
        <v>1930.3784184679173</v>
      </c>
      <c r="G47" s="15">
        <f>'Datu ievade'!E164</f>
        <v>1935.0678096794522</v>
      </c>
      <c r="H47" s="15">
        <f>'Datu ievade'!F164</f>
        <v>1939.8193953264167</v>
      </c>
      <c r="I47" s="15">
        <f>'Datu ievade'!G164</f>
        <v>1939.8193953264167</v>
      </c>
      <c r="J47" s="15">
        <f>'Datu ievade'!H164</f>
        <v>1939.8193953264167</v>
      </c>
      <c r="K47" s="15">
        <f>'Datu ievade'!I164</f>
        <v>1939.8193953264167</v>
      </c>
      <c r="L47" s="15">
        <f>'Datu ievade'!J164</f>
        <v>1939.8193953264167</v>
      </c>
      <c r="M47" s="15">
        <f>'Datu ievade'!K164</f>
        <v>1939.8193953264167</v>
      </c>
      <c r="N47" s="15">
        <f>'Datu ievade'!L164</f>
        <v>1939.8193953264167</v>
      </c>
      <c r="O47" s="15">
        <f>'Datu ievade'!M164</f>
        <v>1939.8193953264167</v>
      </c>
      <c r="P47" s="15">
        <f>'Datu ievade'!N164</f>
        <v>1939.8193953264167</v>
      </c>
      <c r="Q47" s="15">
        <f>'Datu ievade'!O164</f>
        <v>1939.8193953264167</v>
      </c>
      <c r="R47" s="15">
        <f>'Datu ievade'!P164</f>
        <v>1939.8193953264167</v>
      </c>
      <c r="S47" s="15">
        <f>'Datu ievade'!Q164</f>
        <v>1939.8193953264167</v>
      </c>
      <c r="T47" s="15">
        <f>'Datu ievade'!R164</f>
        <v>1939.8193953264167</v>
      </c>
      <c r="U47" s="15">
        <f>'Datu ievade'!S164</f>
        <v>1939.8193953264167</v>
      </c>
      <c r="V47" s="15">
        <f>'Datu ievade'!T164</f>
        <v>1939.8193953264167</v>
      </c>
      <c r="W47" s="15">
        <f>'Datu ievade'!U164</f>
        <v>1939.8193953264167</v>
      </c>
      <c r="X47" s="15">
        <f>'Datu ievade'!V164</f>
        <v>1939.8193953264167</v>
      </c>
      <c r="Y47" s="15">
        <f>'Datu ievade'!W164</f>
        <v>1939.8193953264167</v>
      </c>
      <c r="Z47" s="15">
        <f>'Datu ievade'!X164</f>
        <v>1939.8193953264167</v>
      </c>
      <c r="AA47" s="15">
        <f>'Datu ievade'!Y164</f>
        <v>1939.8193953264167</v>
      </c>
      <c r="AB47" s="15">
        <f>'Datu ievade'!Z164</f>
        <v>1939.8193953264167</v>
      </c>
      <c r="AC47" s="15">
        <f>'Datu ievade'!AA164</f>
        <v>1939.8193953264167</v>
      </c>
      <c r="AD47" s="15">
        <f>'Datu ievade'!AB164</f>
        <v>1939.8193953264167</v>
      </c>
      <c r="AE47" s="15">
        <f>'Datu ievade'!AC164</f>
        <v>1939.8193953264167</v>
      </c>
      <c r="AF47" s="15">
        <f>'Datu ievade'!AD164</f>
        <v>1939.8193953264167</v>
      </c>
      <c r="AG47" s="15">
        <f>'Datu ievade'!AE164</f>
        <v>1939.8193953264167</v>
      </c>
      <c r="AH47" s="15">
        <f>'Datu ievade'!AF164</f>
        <v>1939.8193953264167</v>
      </c>
      <c r="AI47" s="15">
        <f>'Datu ievade'!AG164</f>
        <v>1939.8193953264167</v>
      </c>
      <c r="AJ47" s="15" t="e">
        <f>'Datu ievade'!#REF!</f>
        <v>#REF!</v>
      </c>
      <c r="AK47" s="15" t="e">
        <f>'Datu ievade'!#REF!</f>
        <v>#REF!</v>
      </c>
      <c r="AL47" s="15"/>
    </row>
    <row r="48" spans="2:38" x14ac:dyDescent="0.2">
      <c r="B48" s="2" t="s">
        <v>289</v>
      </c>
      <c r="C48" s="15">
        <f>'Datu ievade'!B141</f>
        <v>43614</v>
      </c>
      <c r="D48" s="15">
        <f>'Datu ievade'!B165</f>
        <v>21853.377448901108</v>
      </c>
      <c r="E48" s="15">
        <f>'Datu ievade'!C165</f>
        <v>21893.727582186613</v>
      </c>
      <c r="F48" s="15">
        <f>'Datu ievade'!D165</f>
        <v>21947.738358461873</v>
      </c>
      <c r="G48" s="15">
        <f>'Datu ievade'!E165</f>
        <v>22001.0551228779</v>
      </c>
      <c r="H48" s="15">
        <f>'Datu ievade'!F165</f>
        <v>22055.079016623135</v>
      </c>
      <c r="I48" s="15">
        <f>'Datu ievade'!G165</f>
        <v>22055.079016623135</v>
      </c>
      <c r="J48" s="15">
        <f>'Datu ievade'!H165</f>
        <v>22055.079016623135</v>
      </c>
      <c r="K48" s="15">
        <f>'Datu ievade'!I165</f>
        <v>22055.079016623135</v>
      </c>
      <c r="L48" s="15">
        <f>'Datu ievade'!J165</f>
        <v>22055.079016623135</v>
      </c>
      <c r="M48" s="15">
        <f>'Datu ievade'!K165</f>
        <v>22055.079016623135</v>
      </c>
      <c r="N48" s="15">
        <f>'Datu ievade'!L165</f>
        <v>22055.079016623135</v>
      </c>
      <c r="O48" s="15">
        <f>'Datu ievade'!M165</f>
        <v>22055.079016623135</v>
      </c>
      <c r="P48" s="15">
        <f>'Datu ievade'!N165</f>
        <v>22055.079016623135</v>
      </c>
      <c r="Q48" s="15">
        <f>'Datu ievade'!O165</f>
        <v>22055.079016623135</v>
      </c>
      <c r="R48" s="15">
        <f>'Datu ievade'!P165</f>
        <v>22055.079016623135</v>
      </c>
      <c r="S48" s="15">
        <f>'Datu ievade'!Q165</f>
        <v>22055.079016623135</v>
      </c>
      <c r="T48" s="15">
        <f>'Datu ievade'!R165</f>
        <v>22055.079016623135</v>
      </c>
      <c r="U48" s="15">
        <f>'Datu ievade'!S165</f>
        <v>22055.079016623135</v>
      </c>
      <c r="V48" s="15">
        <f>'Datu ievade'!T165</f>
        <v>22055.079016623135</v>
      </c>
      <c r="W48" s="15">
        <f>'Datu ievade'!U165</f>
        <v>22055.079016623135</v>
      </c>
      <c r="X48" s="15">
        <f>'Datu ievade'!V165</f>
        <v>22055.079016623135</v>
      </c>
      <c r="Y48" s="15">
        <f>'Datu ievade'!W165</f>
        <v>22055.079016623135</v>
      </c>
      <c r="Z48" s="15">
        <f>'Datu ievade'!X165</f>
        <v>22055.079016623135</v>
      </c>
      <c r="AA48" s="15">
        <f>'Datu ievade'!Y165</f>
        <v>22055.079016623135</v>
      </c>
      <c r="AB48" s="15">
        <f>'Datu ievade'!Z165</f>
        <v>22055.079016623135</v>
      </c>
      <c r="AC48" s="15">
        <f>'Datu ievade'!AA165</f>
        <v>22055.079016623135</v>
      </c>
      <c r="AD48" s="15">
        <f>'Datu ievade'!AB165</f>
        <v>22055.079016623135</v>
      </c>
      <c r="AE48" s="15">
        <f>'Datu ievade'!AC165</f>
        <v>22055.079016623135</v>
      </c>
      <c r="AF48" s="15">
        <f>'Datu ievade'!AD165</f>
        <v>22055.079016623135</v>
      </c>
      <c r="AG48" s="15">
        <f>'Datu ievade'!AE165</f>
        <v>22055.079016623135</v>
      </c>
      <c r="AH48" s="15">
        <f>'Datu ievade'!AF165</f>
        <v>22055.079016623135</v>
      </c>
      <c r="AI48" s="15">
        <f>'Datu ievade'!AG165</f>
        <v>22055.079016623135</v>
      </c>
      <c r="AJ48" s="15" t="e">
        <f>'Datu ievade'!#REF!</f>
        <v>#REF!</v>
      </c>
      <c r="AK48" s="15" t="e">
        <f>'Datu ievade'!#REF!</f>
        <v>#REF!</v>
      </c>
      <c r="AL48" s="15"/>
    </row>
    <row r="49" spans="2:38" ht="22.5" x14ac:dyDescent="0.2">
      <c r="B49" s="2" t="s">
        <v>290</v>
      </c>
      <c r="C49" s="15">
        <f>'Datu ievade'!B142</f>
        <v>19670</v>
      </c>
      <c r="D49" s="15" t="e">
        <f>'Datu ievade'!#REF!+'Datu ievade'!B166</f>
        <v>#REF!</v>
      </c>
      <c r="E49" s="15" t="e">
        <f>'Datu ievade'!#REF!+'Datu ievade'!C166</f>
        <v>#REF!</v>
      </c>
      <c r="F49" s="15" t="e">
        <f>'Datu ievade'!#REF!+'Datu ievade'!D166</f>
        <v>#REF!</v>
      </c>
      <c r="G49" s="15" t="e">
        <f>'Datu ievade'!#REF!+'Datu ievade'!E166</f>
        <v>#REF!</v>
      </c>
      <c r="H49" s="15" t="e">
        <f>'Datu ievade'!#REF!+'Datu ievade'!F166</f>
        <v>#REF!</v>
      </c>
      <c r="I49" s="15" t="e">
        <f>'Datu ievade'!#REF!+'Datu ievade'!G166</f>
        <v>#REF!</v>
      </c>
      <c r="J49" s="15" t="e">
        <f>'Datu ievade'!#REF!+'Datu ievade'!H166</f>
        <v>#REF!</v>
      </c>
      <c r="K49" s="15" t="e">
        <f>'Datu ievade'!#REF!+'Datu ievade'!I166</f>
        <v>#REF!</v>
      </c>
      <c r="L49" s="15" t="e">
        <f>'Datu ievade'!#REF!+'Datu ievade'!J166</f>
        <v>#REF!</v>
      </c>
      <c r="M49" s="15" t="e">
        <f>'Datu ievade'!#REF!+'Datu ievade'!K166</f>
        <v>#REF!</v>
      </c>
      <c r="N49" s="15" t="e">
        <f>'Datu ievade'!#REF!+'Datu ievade'!L166</f>
        <v>#REF!</v>
      </c>
      <c r="O49" s="15" t="e">
        <f>'Datu ievade'!#REF!+'Datu ievade'!M166</f>
        <v>#REF!</v>
      </c>
      <c r="P49" s="15" t="e">
        <f>'Datu ievade'!#REF!+'Datu ievade'!N166</f>
        <v>#REF!</v>
      </c>
      <c r="Q49" s="15" t="e">
        <f>'Datu ievade'!#REF!+'Datu ievade'!O166</f>
        <v>#REF!</v>
      </c>
      <c r="R49" s="15" t="e">
        <f>'Datu ievade'!#REF!+'Datu ievade'!P166</f>
        <v>#REF!</v>
      </c>
      <c r="S49" s="15" t="e">
        <f>'Datu ievade'!#REF!+'Datu ievade'!Q166</f>
        <v>#REF!</v>
      </c>
      <c r="T49" s="15" t="e">
        <f>'Datu ievade'!#REF!+'Datu ievade'!R166</f>
        <v>#REF!</v>
      </c>
      <c r="U49" s="15" t="e">
        <f>'Datu ievade'!#REF!+'Datu ievade'!S166</f>
        <v>#REF!</v>
      </c>
      <c r="V49" s="15" t="e">
        <f>'Datu ievade'!#REF!+'Datu ievade'!T166</f>
        <v>#REF!</v>
      </c>
      <c r="W49" s="15" t="e">
        <f>'Datu ievade'!#REF!+'Datu ievade'!U166</f>
        <v>#REF!</v>
      </c>
      <c r="X49" s="15" t="e">
        <f>'Datu ievade'!#REF!+'Datu ievade'!V166</f>
        <v>#REF!</v>
      </c>
      <c r="Y49" s="15" t="e">
        <f>'Datu ievade'!#REF!+'Datu ievade'!W166</f>
        <v>#REF!</v>
      </c>
      <c r="Z49" s="15" t="e">
        <f>'Datu ievade'!#REF!+'Datu ievade'!X166</f>
        <v>#REF!</v>
      </c>
      <c r="AA49" s="15" t="e">
        <f>'Datu ievade'!#REF!+'Datu ievade'!Y166</f>
        <v>#REF!</v>
      </c>
      <c r="AB49" s="15" t="e">
        <f>'Datu ievade'!#REF!+'Datu ievade'!Z166</f>
        <v>#REF!</v>
      </c>
      <c r="AC49" s="15" t="e">
        <f>'Datu ievade'!#REF!+'Datu ievade'!AA166</f>
        <v>#REF!</v>
      </c>
      <c r="AD49" s="15" t="e">
        <f>'Datu ievade'!#REF!+'Datu ievade'!AB166</f>
        <v>#REF!</v>
      </c>
      <c r="AE49" s="15" t="e">
        <f>'Datu ievade'!#REF!+'Datu ievade'!AC166</f>
        <v>#REF!</v>
      </c>
      <c r="AF49" s="15" t="e">
        <f>'Datu ievade'!#REF!+'Datu ievade'!AD166</f>
        <v>#REF!</v>
      </c>
      <c r="AG49" s="15" t="e">
        <f>'Datu ievade'!#REF!+'Datu ievade'!AE166</f>
        <v>#REF!</v>
      </c>
      <c r="AH49" s="15" t="e">
        <f>'Datu ievade'!#REF!+'Datu ievade'!AF166</f>
        <v>#REF!</v>
      </c>
      <c r="AI49" s="15" t="e">
        <f>'Datu ievade'!#REF!+'Datu ievade'!AG166</f>
        <v>#REF!</v>
      </c>
      <c r="AJ49" s="15" t="e">
        <f>'Datu ievade'!#REF!+'Datu ievade'!#REF!</f>
        <v>#REF!</v>
      </c>
      <c r="AK49" s="15" t="e">
        <f>'Datu ievade'!#REF!+'Datu ievade'!#REF!</f>
        <v>#REF!</v>
      </c>
      <c r="AL49" s="15"/>
    </row>
    <row r="50" spans="2:38" x14ac:dyDescent="0.2">
      <c r="B50" s="2" t="s">
        <v>291</v>
      </c>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row>
    <row r="51" spans="2:38" x14ac:dyDescent="0.2">
      <c r="B51" s="2" t="s">
        <v>292</v>
      </c>
      <c r="C51" s="15">
        <f>'Datu ievade'!B144</f>
        <v>178227</v>
      </c>
      <c r="D51" s="15">
        <f>'Datu ievade'!B168</f>
        <v>178227</v>
      </c>
      <c r="E51" s="15">
        <f>'Datu ievade'!C168</f>
        <v>178227</v>
      </c>
      <c r="F51" s="15">
        <f>'Datu ievade'!D168</f>
        <v>178227</v>
      </c>
      <c r="G51" s="15">
        <f>'Datu ievade'!E168</f>
        <v>178227</v>
      </c>
      <c r="H51" s="15">
        <f>'Datu ievade'!F168</f>
        <v>178227</v>
      </c>
      <c r="I51" s="15">
        <f>'Datu ievade'!G168</f>
        <v>178227</v>
      </c>
      <c r="J51" s="15">
        <f>'Datu ievade'!H168</f>
        <v>178227</v>
      </c>
      <c r="K51" s="15">
        <f>'Datu ievade'!I168</f>
        <v>178227</v>
      </c>
      <c r="L51" s="15">
        <f>'Datu ievade'!J168</f>
        <v>178227</v>
      </c>
      <c r="M51" s="15">
        <f>'Datu ievade'!K168</f>
        <v>178227</v>
      </c>
      <c r="N51" s="15">
        <f>'Datu ievade'!L168</f>
        <v>178227</v>
      </c>
      <c r="O51" s="15">
        <f>'Datu ievade'!M168</f>
        <v>178227</v>
      </c>
      <c r="P51" s="15">
        <f>'Datu ievade'!N168</f>
        <v>178227</v>
      </c>
      <c r="Q51" s="15">
        <f>'Datu ievade'!O168</f>
        <v>178227</v>
      </c>
      <c r="R51" s="15">
        <f>'Datu ievade'!P168</f>
        <v>178227</v>
      </c>
      <c r="S51" s="15">
        <f>'Datu ievade'!Q168</f>
        <v>178227</v>
      </c>
      <c r="T51" s="15">
        <f>'Datu ievade'!R168</f>
        <v>178227</v>
      </c>
      <c r="U51" s="15">
        <f>'Datu ievade'!S168</f>
        <v>178227</v>
      </c>
      <c r="V51" s="15">
        <f>'Datu ievade'!T168</f>
        <v>178227</v>
      </c>
      <c r="W51" s="15">
        <f>'Datu ievade'!U168</f>
        <v>178227</v>
      </c>
      <c r="X51" s="15">
        <f>'Datu ievade'!V168</f>
        <v>178227</v>
      </c>
      <c r="Y51" s="15">
        <f>'Datu ievade'!W168</f>
        <v>178227</v>
      </c>
      <c r="Z51" s="15">
        <f>'Datu ievade'!X168</f>
        <v>178227</v>
      </c>
      <c r="AA51" s="15">
        <f>'Datu ievade'!Y168</f>
        <v>178227</v>
      </c>
      <c r="AB51" s="15">
        <f>'Datu ievade'!Z168</f>
        <v>178227</v>
      </c>
      <c r="AC51" s="15">
        <f>'Datu ievade'!AA168</f>
        <v>178227</v>
      </c>
      <c r="AD51" s="15">
        <f>'Datu ievade'!AB168</f>
        <v>178227</v>
      </c>
      <c r="AE51" s="15">
        <f>'Datu ievade'!AC168</f>
        <v>178227</v>
      </c>
      <c r="AF51" s="15">
        <f>'Datu ievade'!AD168</f>
        <v>178227</v>
      </c>
      <c r="AG51" s="15">
        <f>'Datu ievade'!AE168</f>
        <v>178227</v>
      </c>
      <c r="AH51" s="15">
        <f>'Datu ievade'!AF168</f>
        <v>178227</v>
      </c>
      <c r="AI51" s="15">
        <f>'Datu ievade'!AG168</f>
        <v>178227</v>
      </c>
      <c r="AJ51" s="15" t="e">
        <f>'Datu ievade'!#REF!</f>
        <v>#REF!</v>
      </c>
      <c r="AK51" s="15" t="e">
        <f>'Datu ievade'!#REF!</f>
        <v>#REF!</v>
      </c>
      <c r="AL51" s="15"/>
    </row>
    <row r="52" spans="2:38" x14ac:dyDescent="0.2">
      <c r="B52" s="2" t="s">
        <v>293</v>
      </c>
      <c r="C52" s="15">
        <f>'Datu ievade'!B145</f>
        <v>42934.884299999998</v>
      </c>
      <c r="D52" s="15">
        <f>'Datu ievade'!B169</f>
        <v>42934.884299999998</v>
      </c>
      <c r="E52" s="15">
        <f>'Datu ievade'!C169</f>
        <v>42934.884299999998</v>
      </c>
      <c r="F52" s="15">
        <f>'Datu ievade'!D169</f>
        <v>42934.884299999998</v>
      </c>
      <c r="G52" s="15">
        <f>'Datu ievade'!E169</f>
        <v>42934.884299999998</v>
      </c>
      <c r="H52" s="15">
        <f>'Datu ievade'!F169</f>
        <v>42934.884299999998</v>
      </c>
      <c r="I52" s="15">
        <f>'Datu ievade'!G169</f>
        <v>42934.884299999998</v>
      </c>
      <c r="J52" s="15">
        <f>'Datu ievade'!H169</f>
        <v>42934.884299999998</v>
      </c>
      <c r="K52" s="15">
        <f>'Datu ievade'!I169</f>
        <v>42934.884299999998</v>
      </c>
      <c r="L52" s="15">
        <f>'Datu ievade'!J169</f>
        <v>42934.884299999998</v>
      </c>
      <c r="M52" s="15">
        <f>'Datu ievade'!K169</f>
        <v>42934.884299999998</v>
      </c>
      <c r="N52" s="15">
        <f>'Datu ievade'!L169</f>
        <v>42934.884299999998</v>
      </c>
      <c r="O52" s="15">
        <f>'Datu ievade'!M169</f>
        <v>42934.884299999998</v>
      </c>
      <c r="P52" s="15">
        <f>'Datu ievade'!N169</f>
        <v>42934.884299999998</v>
      </c>
      <c r="Q52" s="15">
        <f>'Datu ievade'!O169</f>
        <v>42934.884299999998</v>
      </c>
      <c r="R52" s="15">
        <f>'Datu ievade'!P169</f>
        <v>42934.884299999998</v>
      </c>
      <c r="S52" s="15">
        <f>'Datu ievade'!Q169</f>
        <v>42934.884299999998</v>
      </c>
      <c r="T52" s="15">
        <f>'Datu ievade'!R169</f>
        <v>42934.884299999998</v>
      </c>
      <c r="U52" s="15">
        <f>'Datu ievade'!S169</f>
        <v>42934.884299999998</v>
      </c>
      <c r="V52" s="15">
        <f>'Datu ievade'!T169</f>
        <v>42934.884299999998</v>
      </c>
      <c r="W52" s="15">
        <f>'Datu ievade'!U169</f>
        <v>42934.884299999998</v>
      </c>
      <c r="X52" s="15">
        <f>'Datu ievade'!V169</f>
        <v>42934.884299999998</v>
      </c>
      <c r="Y52" s="15">
        <f>'Datu ievade'!W169</f>
        <v>42934.884299999998</v>
      </c>
      <c r="Z52" s="15">
        <f>'Datu ievade'!X169</f>
        <v>42934.884299999998</v>
      </c>
      <c r="AA52" s="15">
        <f>'Datu ievade'!Y169</f>
        <v>42934.884299999998</v>
      </c>
      <c r="AB52" s="15">
        <f>'Datu ievade'!Z169</f>
        <v>42934.884299999998</v>
      </c>
      <c r="AC52" s="15">
        <f>'Datu ievade'!AA169</f>
        <v>42934.884299999998</v>
      </c>
      <c r="AD52" s="15">
        <f>'Datu ievade'!AB169</f>
        <v>42934.884299999998</v>
      </c>
      <c r="AE52" s="15">
        <f>'Datu ievade'!AC169</f>
        <v>42934.884299999998</v>
      </c>
      <c r="AF52" s="15">
        <f>'Datu ievade'!AD169</f>
        <v>42934.884299999998</v>
      </c>
      <c r="AG52" s="15">
        <f>'Datu ievade'!AE169</f>
        <v>42934.884299999998</v>
      </c>
      <c r="AH52" s="15">
        <f>'Datu ievade'!AF169</f>
        <v>42934.884299999998</v>
      </c>
      <c r="AI52" s="15">
        <f>'Datu ievade'!AG169</f>
        <v>42934.884299999998</v>
      </c>
      <c r="AJ52" s="15" t="e">
        <f>'Datu ievade'!#REF!</f>
        <v>#REF!</v>
      </c>
      <c r="AK52" s="15" t="e">
        <f>'Datu ievade'!#REF!</f>
        <v>#REF!</v>
      </c>
      <c r="AL52" s="15"/>
    </row>
    <row r="53" spans="2:38" x14ac:dyDescent="0.2">
      <c r="B53" s="2" t="s">
        <v>294</v>
      </c>
      <c r="C53" s="15">
        <f>'Datu ievade'!B146</f>
        <v>1030</v>
      </c>
      <c r="D53" s="15">
        <f>'Datu ievade'!B170</f>
        <v>1030</v>
      </c>
      <c r="E53" s="15">
        <f>'Datu ievade'!C170</f>
        <v>1030</v>
      </c>
      <c r="F53" s="15">
        <f>'Datu ievade'!D170</f>
        <v>1030</v>
      </c>
      <c r="G53" s="15">
        <f>'Datu ievade'!E170</f>
        <v>1030</v>
      </c>
      <c r="H53" s="15">
        <f>'Datu ievade'!F170</f>
        <v>1030</v>
      </c>
      <c r="I53" s="15">
        <f>'Datu ievade'!G170</f>
        <v>1030</v>
      </c>
      <c r="J53" s="15">
        <f>'Datu ievade'!H170</f>
        <v>1030</v>
      </c>
      <c r="K53" s="15">
        <f>'Datu ievade'!I170</f>
        <v>1030</v>
      </c>
      <c r="L53" s="15">
        <f>'Datu ievade'!J170</f>
        <v>1030</v>
      </c>
      <c r="M53" s="15">
        <f>'Datu ievade'!K170</f>
        <v>1030</v>
      </c>
      <c r="N53" s="15">
        <f>'Datu ievade'!L170</f>
        <v>1030</v>
      </c>
      <c r="O53" s="15">
        <f>'Datu ievade'!M170</f>
        <v>1030</v>
      </c>
      <c r="P53" s="15">
        <f>'Datu ievade'!N170</f>
        <v>1030</v>
      </c>
      <c r="Q53" s="15">
        <f>'Datu ievade'!O170</f>
        <v>1030</v>
      </c>
      <c r="R53" s="15">
        <f>'Datu ievade'!P170</f>
        <v>1030</v>
      </c>
      <c r="S53" s="15">
        <f>'Datu ievade'!Q170</f>
        <v>1030</v>
      </c>
      <c r="T53" s="15">
        <f>'Datu ievade'!R170</f>
        <v>1030</v>
      </c>
      <c r="U53" s="15">
        <f>'Datu ievade'!S170</f>
        <v>1030</v>
      </c>
      <c r="V53" s="15">
        <f>'Datu ievade'!T170</f>
        <v>1030</v>
      </c>
      <c r="W53" s="15">
        <f>'Datu ievade'!U170</f>
        <v>1030</v>
      </c>
      <c r="X53" s="15">
        <f>'Datu ievade'!V170</f>
        <v>1030</v>
      </c>
      <c r="Y53" s="15">
        <f>'Datu ievade'!W170</f>
        <v>1030</v>
      </c>
      <c r="Z53" s="15">
        <f>'Datu ievade'!X170</f>
        <v>1030</v>
      </c>
      <c r="AA53" s="15">
        <f>'Datu ievade'!Y170</f>
        <v>1030</v>
      </c>
      <c r="AB53" s="15">
        <f>'Datu ievade'!Z170</f>
        <v>1030</v>
      </c>
      <c r="AC53" s="15">
        <f>'Datu ievade'!AA170</f>
        <v>1030</v>
      </c>
      <c r="AD53" s="15">
        <f>'Datu ievade'!AB170</f>
        <v>1030</v>
      </c>
      <c r="AE53" s="15">
        <f>'Datu ievade'!AC170</f>
        <v>1030</v>
      </c>
      <c r="AF53" s="15">
        <f>'Datu ievade'!AD170</f>
        <v>1030</v>
      </c>
      <c r="AG53" s="15">
        <f>'Datu ievade'!AE170</f>
        <v>1030</v>
      </c>
      <c r="AH53" s="15">
        <f>'Datu ievade'!AF170</f>
        <v>1030</v>
      </c>
      <c r="AI53" s="15">
        <f>'Datu ievade'!AG170</f>
        <v>1030</v>
      </c>
      <c r="AJ53" s="15" t="e">
        <f>'Datu ievade'!#REF!</f>
        <v>#REF!</v>
      </c>
      <c r="AK53" s="15" t="e">
        <f>'Datu ievade'!#REF!</f>
        <v>#REF!</v>
      </c>
      <c r="AL53" s="15"/>
    </row>
    <row r="56" spans="2:38" x14ac:dyDescent="0.2">
      <c r="B56" s="3" t="s">
        <v>301</v>
      </c>
      <c r="C56" s="18">
        <f>'Datu ievade'!B203</f>
        <v>1.4E-2</v>
      </c>
      <c r="D56" s="18" t="e">
        <f>'Datu ievade'!#REF!</f>
        <v>#REF!</v>
      </c>
      <c r="E56" s="18">
        <f>'Datu ievade'!B209</f>
        <v>1.4E-2</v>
      </c>
      <c r="F56" s="18">
        <f>'Datu ievade'!C209</f>
        <v>1.4999999999999999E-2</v>
      </c>
      <c r="G56" s="18">
        <f>'Datu ievade'!D209</f>
        <v>1.6E-2</v>
      </c>
      <c r="H56" s="18">
        <f>'Datu ievade'!E209</f>
        <v>1.6E-2</v>
      </c>
      <c r="I56" s="18">
        <f>'Datu ievade'!F209</f>
        <v>1.6E-2</v>
      </c>
      <c r="J56" s="18">
        <f>'Datu ievade'!G209</f>
        <v>1.6E-2</v>
      </c>
      <c r="K56" s="18">
        <f>'Datu ievade'!H209</f>
        <v>1.6E-2</v>
      </c>
      <c r="L56" s="18">
        <f>'Datu ievade'!I209</f>
        <v>1.4999999999999999E-2</v>
      </c>
      <c r="M56" s="18">
        <f>'Datu ievade'!J209</f>
        <v>1.4999999999999999E-2</v>
      </c>
      <c r="N56" s="18">
        <f>'Datu ievade'!K209</f>
        <v>1.4999999999999999E-2</v>
      </c>
      <c r="O56" s="18">
        <f>'Datu ievade'!L209</f>
        <v>1.4999999999999999E-2</v>
      </c>
      <c r="P56" s="18">
        <f>'Datu ievade'!M209</f>
        <v>1.4999999999999999E-2</v>
      </c>
      <c r="Q56" s="18">
        <f>'Datu ievade'!N209</f>
        <v>1.4999999999999999E-2</v>
      </c>
      <c r="R56" s="18">
        <f>'Datu ievade'!O209</f>
        <v>1.4999999999999999E-2</v>
      </c>
      <c r="S56" s="18">
        <f>'Datu ievade'!P209</f>
        <v>1.4999999999999999E-2</v>
      </c>
      <c r="T56" s="18">
        <f>'Datu ievade'!Q209</f>
        <v>1.4999999999999999E-2</v>
      </c>
      <c r="U56" s="18">
        <f>'Datu ievade'!R209</f>
        <v>1.4999999999999999E-2</v>
      </c>
      <c r="V56" s="18">
        <f>'Datu ievade'!S209</f>
        <v>1.4999999999999999E-2</v>
      </c>
      <c r="W56" s="18">
        <f>'Datu ievade'!T209</f>
        <v>1.4999999999999999E-2</v>
      </c>
      <c r="X56" s="18">
        <f>'Datu ievade'!U209</f>
        <v>1.4999999999999999E-2</v>
      </c>
      <c r="Y56" s="18">
        <f>'Datu ievade'!V209</f>
        <v>1.4999999999999999E-2</v>
      </c>
      <c r="Z56" s="18">
        <f>'Datu ievade'!W209</f>
        <v>1.4999999999999999E-2</v>
      </c>
      <c r="AA56" s="18">
        <f>'Datu ievade'!X209</f>
        <v>1.4999999999999999E-2</v>
      </c>
      <c r="AB56" s="18">
        <f>'Datu ievade'!Y209</f>
        <v>1.4999999999999999E-2</v>
      </c>
      <c r="AC56" s="18">
        <f>'Datu ievade'!Z209</f>
        <v>1.4999999999999999E-2</v>
      </c>
      <c r="AD56" s="18">
        <f>'Datu ievade'!AA209</f>
        <v>1.4999999999999999E-2</v>
      </c>
      <c r="AE56" s="18">
        <f>'Datu ievade'!AB209</f>
        <v>1.4999999999999999E-2</v>
      </c>
      <c r="AF56" s="18">
        <f>'Datu ievade'!AC209</f>
        <v>1.4999999999999999E-2</v>
      </c>
      <c r="AG56" s="18">
        <f>'Datu ievade'!AD209</f>
        <v>1.4999999999999999E-2</v>
      </c>
      <c r="AH56" s="18">
        <f>'Datu ievade'!AE209</f>
        <v>1.4999999999999999E-2</v>
      </c>
      <c r="AI56" s="18">
        <f>'Datu ievade'!AF209</f>
        <v>1.4999999999999999E-2</v>
      </c>
      <c r="AJ56" s="18" t="e">
        <f>'Datu ievade'!#REF!</f>
        <v>#REF!</v>
      </c>
      <c r="AK56" s="18" t="e">
        <f>'Datu ievade'!#REF!</f>
        <v>#REF!</v>
      </c>
      <c r="AL56" s="18"/>
    </row>
    <row r="59" spans="2:38" x14ac:dyDescent="0.2">
      <c r="B59" s="4" t="s">
        <v>363</v>
      </c>
      <c r="C59" s="13">
        <v>0</v>
      </c>
      <c r="D59" s="14">
        <f>'Datu ievade'!B220</f>
        <v>0</v>
      </c>
      <c r="E59" s="14">
        <f>'Datu ievade'!C220</f>
        <v>340000</v>
      </c>
      <c r="F59" s="14">
        <f>'Datu ievade'!D220</f>
        <v>239416.73</v>
      </c>
      <c r="G59" s="14">
        <f>'Datu ievade'!E220</f>
        <v>0</v>
      </c>
      <c r="H59" s="14">
        <f>'Datu ievade'!F220</f>
        <v>0</v>
      </c>
      <c r="I59" s="14">
        <f>'Datu ievade'!G220</f>
        <v>0</v>
      </c>
      <c r="J59" s="14">
        <f>'Datu ievade'!H220</f>
        <v>0</v>
      </c>
      <c r="K59" s="13" t="e">
        <f>#N/A</f>
        <v>#N/A</v>
      </c>
      <c r="L59" s="13" t="e">
        <f>#N/A</f>
        <v>#N/A</v>
      </c>
      <c r="M59" s="13" t="e">
        <f>#N/A</f>
        <v>#N/A</v>
      </c>
      <c r="N59" s="13" t="e">
        <f>#N/A</f>
        <v>#N/A</v>
      </c>
      <c r="O59" s="13" t="e">
        <f>#N/A</f>
        <v>#N/A</v>
      </c>
      <c r="P59" s="13" t="e">
        <f>#N/A</f>
        <v>#N/A</v>
      </c>
      <c r="Q59" s="13" t="e">
        <f>#N/A</f>
        <v>#N/A</v>
      </c>
      <c r="R59" s="13" t="e">
        <f>#N/A</f>
        <v>#N/A</v>
      </c>
      <c r="S59" s="13" t="e">
        <f>#N/A</f>
        <v>#N/A</v>
      </c>
      <c r="T59" s="13" t="e">
        <f>#N/A</f>
        <v>#N/A</v>
      </c>
      <c r="U59" s="13" t="e">
        <f>#N/A</f>
        <v>#N/A</v>
      </c>
      <c r="V59" s="13" t="e">
        <f>#N/A</f>
        <v>#N/A</v>
      </c>
      <c r="W59" s="13" t="e">
        <f>#N/A</f>
        <v>#N/A</v>
      </c>
      <c r="X59" s="13" t="e">
        <f>#N/A</f>
        <v>#N/A</v>
      </c>
      <c r="Y59" s="13" t="e">
        <f>#N/A</f>
        <v>#N/A</v>
      </c>
      <c r="Z59" s="13" t="e">
        <f>#N/A</f>
        <v>#N/A</v>
      </c>
      <c r="AA59" s="13" t="e">
        <f>#N/A</f>
        <v>#N/A</v>
      </c>
      <c r="AB59" s="13" t="e">
        <f>#N/A</f>
        <v>#N/A</v>
      </c>
      <c r="AC59" s="13" t="e">
        <f>#N/A</f>
        <v>#N/A</v>
      </c>
      <c r="AD59" s="13" t="e">
        <f>#N/A</f>
        <v>#N/A</v>
      </c>
      <c r="AE59" s="13" t="e">
        <f>#N/A</f>
        <v>#N/A</v>
      </c>
      <c r="AF59" s="13" t="e">
        <f>#N/A</f>
        <v>#N/A</v>
      </c>
      <c r="AG59" s="13" t="e">
        <f>#N/A</f>
        <v>#N/A</v>
      </c>
      <c r="AH59" s="13" t="e">
        <f>#N/A</f>
        <v>#N/A</v>
      </c>
      <c r="AI59" s="13" t="e">
        <f>#N/A</f>
        <v>#N/A</v>
      </c>
      <c r="AJ59" s="13" t="e">
        <f>#N/A</f>
        <v>#N/A</v>
      </c>
      <c r="AK59" s="13" t="e">
        <f>#N/A</f>
        <v>#N/A</v>
      </c>
    </row>
    <row r="60" spans="2:38" x14ac:dyDescent="0.2">
      <c r="B60" s="2" t="s">
        <v>364</v>
      </c>
      <c r="C60" s="13">
        <v>0</v>
      </c>
      <c r="D60" s="13">
        <f>IF(OR(D2&lt;'Datu ievade'!$B$17,NOT(SUM($C$60:C60)&lt;SUM($C$59:C59))),0,SUM($C$59:$AI$59)/'Datu ievade'!$B$222)</f>
        <v>0</v>
      </c>
      <c r="E60" s="13">
        <f>IF(OR(E2&lt;'Datu ievade'!$B$17,NOT(SUM($C$60:D60)&lt;SUM($C$59:D59))),0,SUM($C$59:$AI$59)/'Datu ievade'!$B$222)</f>
        <v>0</v>
      </c>
      <c r="F60" s="13" t="e">
        <f>IF(OR(F2&lt;'Datu ievade'!$B$17,NOT(SUM($C$60:E60)&lt;SUM($C$59:E59))),0,SUM($C$59:$AI$59)/'Datu ievade'!$B$222)</f>
        <v>#N/A</v>
      </c>
      <c r="G60" s="13" t="e">
        <f>IF(OR(G2&lt;'Datu ievade'!$B$17,NOT(SUM($C$60:F60)&lt;SUM($C$59:F59))),0,SUM($C$59:$AI$59)/'Datu ievade'!$B$222)</f>
        <v>#N/A</v>
      </c>
      <c r="H60" s="13" t="e">
        <f>IF(OR(H2&lt;'Datu ievade'!$B$17,NOT(SUM($C$60:G60)&lt;SUM($C$59:G59))),0,SUM($C$59:$AI$59)/'Datu ievade'!$B$222)</f>
        <v>#N/A</v>
      </c>
      <c r="I60" s="13" t="e">
        <f>IF(OR(I2&lt;'Datu ievade'!$B$17,NOT(SUM($C$60:H60)&lt;SUM($C$59:H59))),0,SUM($C$59:$AI$59)/'Datu ievade'!$B$222)</f>
        <v>#N/A</v>
      </c>
      <c r="J60" s="13" t="e">
        <f>IF(OR(J2&lt;'Datu ievade'!$B$17,NOT(SUM($C$60:I60)&lt;SUM($C$59:I59))),0,SUM($C$59:$AI$59)/'Datu ievade'!$B$222)</f>
        <v>#N/A</v>
      </c>
      <c r="K60" s="13" t="e">
        <f>IF(OR(K2&lt;'Datu ievade'!$B$17,NOT(SUM($C$60:J60)&lt;SUM($C$59:J59))),0,SUM($C$59:$AI$59)/'Datu ievade'!$B$222)</f>
        <v>#N/A</v>
      </c>
      <c r="L60" s="13" t="e">
        <f>IF(OR(L2&lt;'Datu ievade'!$B$17,NOT(SUM($C$60:K60)&lt;SUM($C$59:K59))),0,SUM($C$59:$AI$59)/'Datu ievade'!$B$222)</f>
        <v>#N/A</v>
      </c>
      <c r="M60" s="13" t="e">
        <f>IF(OR(M2&lt;'Datu ievade'!$B$17,NOT(SUM($C$60:L60)&lt;SUM($C$59:L59))),0,SUM($C$59:$AI$59)/'Datu ievade'!$B$222)</f>
        <v>#N/A</v>
      </c>
      <c r="N60" s="13" t="e">
        <f>IF(OR(N2&lt;'Datu ievade'!$B$17,NOT(SUM($C$60:M60)&lt;SUM($C$59:M59))),0,SUM($C$59:$AI$59)/'Datu ievade'!$B$222)</f>
        <v>#N/A</v>
      </c>
      <c r="O60" s="13" t="e">
        <f>IF(OR(O2&lt;'Datu ievade'!$B$17,NOT(SUM($C$60:N60)&lt;SUM($C$59:N59))),0,SUM($C$59:$AI$59)/'Datu ievade'!$B$222)</f>
        <v>#N/A</v>
      </c>
      <c r="P60" s="13" t="e">
        <f>IF(OR(P2&lt;'Datu ievade'!$B$17,NOT(SUM($C$60:O60)&lt;SUM($C$59:O59))),0,SUM($C$59:$AI$59)/'Datu ievade'!$B$222)</f>
        <v>#N/A</v>
      </c>
      <c r="Q60" s="13" t="e">
        <f>IF(OR(Q2&lt;'Datu ievade'!$B$17,NOT(SUM($C$60:P60)&lt;SUM($C$59:P59))),0,SUM($C$59:$AI$59)/'Datu ievade'!$B$222)</f>
        <v>#N/A</v>
      </c>
      <c r="R60" s="13" t="e">
        <f>IF(OR(R2&lt;'Datu ievade'!$B$17,NOT(SUM($C$60:Q60)&lt;SUM($C$59:Q59))),0,SUM($C$59:$AI$59)/'Datu ievade'!$B$222)</f>
        <v>#N/A</v>
      </c>
      <c r="S60" s="13" t="e">
        <f>IF(OR(S2&lt;'Datu ievade'!$B$17,NOT(SUM($C$60:R60)&lt;SUM($C$59:R59))),0,SUM($C$59:$AI$59)/'Datu ievade'!$B$222)</f>
        <v>#N/A</v>
      </c>
      <c r="T60" s="13" t="e">
        <f>IF(OR(T2&lt;'Datu ievade'!$B$17,NOT(SUM($C$60:S60)&lt;SUM($C$59:S59))),0,SUM($C$59:$AI$59)/'Datu ievade'!$B$222)</f>
        <v>#N/A</v>
      </c>
      <c r="U60" s="13" t="e">
        <f>IF(OR(U2&lt;'Datu ievade'!$B$17,NOT(SUM($C$60:T60)&lt;SUM($C$59:T59))),0,SUM($C$59:$AI$59)/'Datu ievade'!$B$222)</f>
        <v>#N/A</v>
      </c>
      <c r="V60" s="13" t="e">
        <f>IF(OR(V2&lt;'Datu ievade'!$B$17,NOT(SUM($C$60:U60)&lt;SUM($C$59:U59))),0,SUM($C$59:$AI$59)/'Datu ievade'!$B$222)</f>
        <v>#N/A</v>
      </c>
      <c r="W60" s="13" t="e">
        <f>IF(OR(W2&lt;'Datu ievade'!$B$17,NOT(SUM($C$60:V60)&lt;SUM($C$59:V59))),0,SUM($C$59:$AI$59)/'Datu ievade'!$B$222)</f>
        <v>#N/A</v>
      </c>
      <c r="X60" s="13" t="e">
        <f>IF(OR(X2&lt;'Datu ievade'!$B$17,NOT(SUM($C$60:W60)&lt;SUM($C$59:W59))),0,SUM($C$59:$AI$59)/'Datu ievade'!$B$222)</f>
        <v>#N/A</v>
      </c>
      <c r="Y60" s="13" t="e">
        <f>IF(OR(Y2&lt;'Datu ievade'!$B$17,NOT(SUM($C$60:X60)&lt;SUM($C$59:X59))),0,SUM($C$59:$AI$59)/'Datu ievade'!$B$222)</f>
        <v>#N/A</v>
      </c>
      <c r="Z60" s="13" t="e">
        <f>IF(OR(Z2&lt;'Datu ievade'!$B$17,NOT(SUM($C$60:Y60)&lt;SUM($C$59:Y59))),0,SUM($C$59:$AI$59)/'Datu ievade'!$B$222)</f>
        <v>#N/A</v>
      </c>
      <c r="AA60" s="13" t="e">
        <f>IF(OR(AA2&lt;'Datu ievade'!$B$17,NOT(SUM($C$60:Z60)&lt;SUM($C$59:Z59))),0,SUM($C$59:$AI$59)/'Datu ievade'!$B$222)</f>
        <v>#N/A</v>
      </c>
      <c r="AB60" s="13" t="e">
        <f>IF(OR(AB2&lt;'Datu ievade'!$B$17,NOT(SUM($C$60:AA60)&lt;SUM($C$59:AA59))),0,SUM($C$59:$AI$59)/'Datu ievade'!$B$222)</f>
        <v>#N/A</v>
      </c>
      <c r="AC60" s="13" t="e">
        <f>IF(OR(AC2&lt;'Datu ievade'!$B$17,NOT(SUM($C$60:AB60)&lt;SUM($C$59:AB59))),0,SUM($C$59:$AI$59)/'Datu ievade'!$B$222)</f>
        <v>#N/A</v>
      </c>
      <c r="AD60" s="13" t="e">
        <f>IF(OR(AD2&lt;'Datu ievade'!$B$17,NOT(SUM($C$60:AC60)&lt;SUM($C$59:AC59))),0,SUM($C$59:$AI$59)/'Datu ievade'!$B$222)</f>
        <v>#N/A</v>
      </c>
      <c r="AE60" s="13" t="e">
        <f>IF(OR(AE2&lt;'Datu ievade'!$B$17,NOT(SUM($C$60:AD60)&lt;SUM($C$59:AD59))),0,SUM($C$59:$AI$59)/'Datu ievade'!$B$222)</f>
        <v>#N/A</v>
      </c>
      <c r="AF60" s="13" t="e">
        <f>IF(OR(AF2&lt;'Datu ievade'!$B$17,NOT(SUM($C$60:AE60)&lt;SUM($C$59:AE59))),0,SUM($C$59:$AI$59)/'Datu ievade'!$B$222)</f>
        <v>#N/A</v>
      </c>
      <c r="AG60" s="13" t="e">
        <f>IF(OR(AG2&lt;'Datu ievade'!$B$17,NOT(SUM($C$60:AF60)&lt;SUM($C$59:AF59))),0,SUM($C$59:$AI$59)/'Datu ievade'!$B$222)</f>
        <v>#N/A</v>
      </c>
      <c r="AH60" s="13" t="e">
        <f>IF(OR(AH2&lt;'Datu ievade'!$B$17,NOT(SUM($C$60:AG60)&lt;SUM($C$59:AG59))),0,SUM($C$59:$AI$59)/'Datu ievade'!$B$222)</f>
        <v>#N/A</v>
      </c>
      <c r="AI60" s="13" t="e">
        <f>IF(OR(AI2&lt;'Datu ievade'!$B$17,NOT(SUM($C$60:AH60)&lt;SUM($C$59:AH59))),0,SUM($C$59:$AI$59)/'Datu ievade'!$B$222)</f>
        <v>#N/A</v>
      </c>
      <c r="AJ60" s="13" t="e">
        <f>IF(OR(AJ2&lt;'Datu ievade'!$B$17,NOT(SUM($C$60:AI60)&lt;SUM($C$59:AI59))),0,SUM($C$59:$AI$59)/'Datu ievade'!$B$222)</f>
        <v>#N/A</v>
      </c>
      <c r="AK60" s="13" t="e">
        <f>IF(OR(AK2&lt;'Datu ievade'!$B$17,NOT(SUM($C$60:AJ60)&lt;SUM($C$59:AJ59))),0,SUM($C$59:$AI$59)/'Datu ievade'!$B$222)</f>
        <v>#N/A</v>
      </c>
    </row>
    <row r="61" spans="2:38" x14ac:dyDescent="0.2">
      <c r="B61" s="2"/>
    </row>
    <row r="62" spans="2:38" x14ac:dyDescent="0.2">
      <c r="B62" s="4" t="s">
        <v>365</v>
      </c>
      <c r="D62" s="14">
        <f>'Datu ievade'!B234</f>
        <v>23562401</v>
      </c>
      <c r="E62" s="14">
        <f>'Datu ievade'!C234</f>
        <v>23562401</v>
      </c>
      <c r="F62" s="14">
        <f>'Datu ievade'!D234</f>
        <v>23562401</v>
      </c>
      <c r="G62" s="14">
        <f>'Datu ievade'!E234</f>
        <v>23562401</v>
      </c>
      <c r="H62" s="14">
        <f>'Datu ievade'!F234</f>
        <v>23562401</v>
      </c>
      <c r="I62" s="14">
        <f>'Datu ievade'!G234</f>
        <v>23562401</v>
      </c>
      <c r="J62" s="14">
        <f>'Datu ievade'!H234</f>
        <v>23562401</v>
      </c>
      <c r="K62" s="14">
        <f>'Datu ievade'!I234</f>
        <v>23562401</v>
      </c>
      <c r="L62" s="14">
        <f>'Datu ievade'!J234</f>
        <v>23562401</v>
      </c>
      <c r="M62" s="14">
        <f>'Datu ievade'!K234</f>
        <v>23562401</v>
      </c>
      <c r="N62" s="14">
        <f>'Datu ievade'!L234</f>
        <v>23562401</v>
      </c>
      <c r="O62" s="14">
        <f>'Datu ievade'!M234</f>
        <v>23562401</v>
      </c>
      <c r="P62" s="14">
        <f>'Datu ievade'!N234</f>
        <v>23562401</v>
      </c>
      <c r="Q62" s="14">
        <f>'Datu ievade'!O234</f>
        <v>23562401</v>
      </c>
      <c r="R62" s="14">
        <f>'Datu ievade'!P234</f>
        <v>23562401</v>
      </c>
      <c r="S62" s="14">
        <f>'Datu ievade'!Q234</f>
        <v>23562401</v>
      </c>
      <c r="T62" s="14">
        <f>'Datu ievade'!R234</f>
        <v>23562401</v>
      </c>
      <c r="U62" s="14">
        <f>'Datu ievade'!S234</f>
        <v>23562401</v>
      </c>
      <c r="V62" s="14">
        <f>'Datu ievade'!T234</f>
        <v>23562401</v>
      </c>
      <c r="W62" s="14">
        <f>'Datu ievade'!U234</f>
        <v>23562401</v>
      </c>
      <c r="X62" s="14">
        <f>'Datu ievade'!V234</f>
        <v>23562401</v>
      </c>
      <c r="Y62" s="14">
        <f>'Datu ievade'!W234</f>
        <v>23562401</v>
      </c>
      <c r="Z62" s="14">
        <f>'Datu ievade'!X234</f>
        <v>23562401</v>
      </c>
      <c r="AA62" s="14">
        <f>'Datu ievade'!Y234</f>
        <v>23562401</v>
      </c>
      <c r="AB62" s="14">
        <f>'Datu ievade'!Z234</f>
        <v>23562401</v>
      </c>
      <c r="AC62" s="14">
        <f t="shared" ref="AC62:AI62" si="4">AB62</f>
        <v>23562401</v>
      </c>
      <c r="AD62" s="14">
        <f t="shared" si="4"/>
        <v>23562401</v>
      </c>
      <c r="AE62" s="14">
        <f t="shared" si="4"/>
        <v>23562401</v>
      </c>
      <c r="AF62" s="14">
        <f t="shared" si="4"/>
        <v>23562401</v>
      </c>
      <c r="AG62" s="14">
        <f t="shared" si="4"/>
        <v>23562401</v>
      </c>
      <c r="AH62" s="14">
        <f t="shared" si="4"/>
        <v>23562401</v>
      </c>
      <c r="AI62" s="14">
        <f t="shared" si="4"/>
        <v>23562401</v>
      </c>
      <c r="AJ62" s="14">
        <f>AI62</f>
        <v>23562401</v>
      </c>
      <c r="AK62" s="14">
        <f>AJ62</f>
        <v>23562401</v>
      </c>
      <c r="AL62" s="14"/>
    </row>
    <row r="63" spans="2:38" ht="22.5" x14ac:dyDescent="0.2">
      <c r="B63" s="4" t="s">
        <v>366</v>
      </c>
      <c r="D63" s="14">
        <f>'Datu ievade'!B251</f>
        <v>1357242</v>
      </c>
      <c r="E63" s="14">
        <f>'Datu ievade'!C251</f>
        <v>1523255</v>
      </c>
      <c r="F63" s="14">
        <f>'Datu ievade'!D251</f>
        <v>1215012</v>
      </c>
      <c r="G63" s="14">
        <f>'Datu ievade'!E251</f>
        <v>1085023</v>
      </c>
      <c r="H63" s="14">
        <f>'Datu ievade'!F251</f>
        <v>930959</v>
      </c>
      <c r="I63" s="14">
        <f>'Datu ievade'!G251</f>
        <v>785333</v>
      </c>
      <c r="J63" s="14">
        <f>'Datu ievade'!H251</f>
        <v>685969</v>
      </c>
      <c r="K63" s="14">
        <f>'Datu ievade'!I251</f>
        <v>687023.75374726346</v>
      </c>
      <c r="L63" s="14">
        <f>'Datu ievade'!J251</f>
        <v>665159.78833765723</v>
      </c>
      <c r="M63" s="14">
        <f>'Datu ievade'!K251</f>
        <v>606065.75374726357</v>
      </c>
      <c r="N63" s="14">
        <f>'Datu ievade'!L251</f>
        <v>460858.08708059683</v>
      </c>
      <c r="O63" s="14">
        <f>'Datu ievade'!M251</f>
        <v>441627.08708059683</v>
      </c>
      <c r="P63" s="14">
        <f>'Datu ievade'!N251</f>
        <v>428300.88708059682</v>
      </c>
      <c r="Q63" s="14">
        <f>'Datu ievade'!O251</f>
        <v>428300.88708059682</v>
      </c>
      <c r="R63" s="14">
        <f>'Datu ievade'!P251</f>
        <v>423686.17279488256</v>
      </c>
      <c r="S63" s="14">
        <f>'Datu ievade'!Q251</f>
        <v>397581.04779488256</v>
      </c>
      <c r="T63" s="14">
        <f>'Datu ievade'!R251</f>
        <v>377498.0477948825</v>
      </c>
      <c r="U63" s="14">
        <f>'Datu ievade'!S251</f>
        <v>236480.54779488247</v>
      </c>
      <c r="V63" s="14">
        <f>'Datu ievade'!T251</f>
        <v>200795.09324942794</v>
      </c>
      <c r="W63" s="14">
        <f>'Datu ievade'!U251</f>
        <v>193134.09324942794</v>
      </c>
      <c r="X63" s="14">
        <f>'Datu ievade'!V251</f>
        <v>193134.09324942794</v>
      </c>
      <c r="Y63" s="14">
        <f>'Datu ievade'!W251</f>
        <v>193134.09324942794</v>
      </c>
      <c r="Z63" s="14">
        <f>'Datu ievade'!X251</f>
        <v>193134.09324942794</v>
      </c>
      <c r="AA63" s="14">
        <f>'Datu ievade'!Y251</f>
        <v>193134.09324942794</v>
      </c>
      <c r="AB63" s="14">
        <f>'Datu ievade'!Z251</f>
        <v>193134.09324942794</v>
      </c>
      <c r="AC63" s="14">
        <f>'Datu ievade'!AA251</f>
        <v>193134.09324942794</v>
      </c>
      <c r="AD63" s="14">
        <f>'Datu ievade'!AB251</f>
        <v>165005.61956521741</v>
      </c>
      <c r="AE63" s="14">
        <f>'Datu ievade'!AC251</f>
        <v>165005.61956521741</v>
      </c>
      <c r="AF63" s="14">
        <f>'Datu ievade'!AD251</f>
        <v>165005.61956521741</v>
      </c>
      <c r="AG63" s="14">
        <f>'Datu ievade'!AE251</f>
        <v>165005.61956521741</v>
      </c>
      <c r="AH63" s="14">
        <f>'Datu ievade'!AF251</f>
        <v>66881.75</v>
      </c>
      <c r="AI63" s="14">
        <f>'Datu ievade'!AG251</f>
        <v>0</v>
      </c>
      <c r="AJ63" s="14" t="e">
        <f>'Datu ievade'!#REF!</f>
        <v>#REF!</v>
      </c>
      <c r="AK63" s="14" t="e">
        <f>'Datu ievade'!#REF!</f>
        <v>#REF!</v>
      </c>
      <c r="AL63" s="14"/>
    </row>
    <row r="65" spans="2:38" ht="12.75" x14ac:dyDescent="0.2">
      <c r="B65" s="19" t="s">
        <v>367</v>
      </c>
    </row>
    <row r="66" spans="2:38" x14ac:dyDescent="0.2">
      <c r="B66" s="20" t="s">
        <v>368</v>
      </c>
      <c r="C66" s="21" t="e">
        <f>'Kopējie pieņēmumi'!#REF!</f>
        <v>#REF!</v>
      </c>
      <c r="D66" s="21" t="e">
        <f>'Kopējie pieņēmumi'!#REF!</f>
        <v>#REF!</v>
      </c>
      <c r="E66" s="21" t="e">
        <f>'Kopējie pieņēmumi'!#REF!</f>
        <v>#REF!</v>
      </c>
      <c r="F66" s="21">
        <f>'Kopējie pieņēmumi'!B9</f>
        <v>0.02</v>
      </c>
      <c r="G66" s="21">
        <f>'Kopējie pieņēmumi'!C9</f>
        <v>2.5000000000000001E-2</v>
      </c>
      <c r="H66" s="21">
        <f>'Kopējie pieņēmumi'!D9</f>
        <v>2.5000000000000001E-2</v>
      </c>
      <c r="I66" s="21">
        <f>'Kopējie pieņēmumi'!E9</f>
        <v>0.02</v>
      </c>
      <c r="J66" s="21">
        <f>'Kopējie pieņēmumi'!F9</f>
        <v>0.02</v>
      </c>
      <c r="K66" s="21">
        <f>'Kopējie pieņēmumi'!G9</f>
        <v>0.02</v>
      </c>
      <c r="L66" s="21">
        <f>'Kopējie pieņēmumi'!H9</f>
        <v>0.02</v>
      </c>
      <c r="M66" s="21">
        <f>'Kopējie pieņēmumi'!I9</f>
        <v>0.02</v>
      </c>
      <c r="N66" s="21">
        <f>'Kopējie pieņēmumi'!J9</f>
        <v>0.02</v>
      </c>
      <c r="O66" s="21">
        <f>'Kopējie pieņēmumi'!K9</f>
        <v>0.02</v>
      </c>
      <c r="P66" s="21">
        <f>'Kopējie pieņēmumi'!L9</f>
        <v>0.02</v>
      </c>
      <c r="Q66" s="21">
        <f>'Kopējie pieņēmumi'!M9</f>
        <v>0.02</v>
      </c>
      <c r="R66" s="21">
        <f>'Kopējie pieņēmumi'!N9</f>
        <v>0.02</v>
      </c>
      <c r="S66" s="21">
        <f>'Kopējie pieņēmumi'!O9</f>
        <v>0.02</v>
      </c>
      <c r="T66" s="21">
        <f>'Kopējie pieņēmumi'!P9</f>
        <v>0.02</v>
      </c>
      <c r="U66" s="21">
        <f>'Kopējie pieņēmumi'!Q9</f>
        <v>0.02</v>
      </c>
      <c r="V66" s="21">
        <f>'Kopējie pieņēmumi'!R9</f>
        <v>0.02</v>
      </c>
      <c r="W66" s="21">
        <f>'Kopējie pieņēmumi'!S9</f>
        <v>0.02</v>
      </c>
      <c r="X66" s="21">
        <f>'Kopējie pieņēmumi'!T9</f>
        <v>0.02</v>
      </c>
      <c r="Y66" s="21">
        <f>'Kopējie pieņēmumi'!U9</f>
        <v>0.02</v>
      </c>
      <c r="Z66" s="21">
        <f>'Kopējie pieņēmumi'!V9</f>
        <v>0.02</v>
      </c>
      <c r="AA66" s="21">
        <f>'Kopējie pieņēmumi'!W9</f>
        <v>0.02</v>
      </c>
      <c r="AB66" s="21">
        <f>'Kopējie pieņēmumi'!X9</f>
        <v>0.02</v>
      </c>
      <c r="AC66" s="21">
        <f>'Kopējie pieņēmumi'!Y9</f>
        <v>0.02</v>
      </c>
      <c r="AD66" s="21">
        <f>'Kopējie pieņēmumi'!Z9</f>
        <v>0.02</v>
      </c>
      <c r="AE66" s="21">
        <f>'Kopējie pieņēmumi'!AA9</f>
        <v>0.02</v>
      </c>
      <c r="AF66" s="21">
        <f>'Kopējie pieņēmumi'!AB9</f>
        <v>0.02</v>
      </c>
      <c r="AG66" s="21">
        <f>'Kopējie pieņēmumi'!AC9</f>
        <v>0.02</v>
      </c>
      <c r="AH66" s="21">
        <f>'Kopējie pieņēmumi'!AD9</f>
        <v>0.02</v>
      </c>
      <c r="AI66" s="21">
        <f>'Kopējie pieņēmumi'!AE9</f>
        <v>0.02</v>
      </c>
      <c r="AJ66" s="21">
        <f>'Kopējie pieņēmumi'!AF9</f>
        <v>0.02</v>
      </c>
      <c r="AK66" s="21">
        <f>'Kopējie pieņēmumi'!AG9</f>
        <v>0.02</v>
      </c>
      <c r="AL66" s="21"/>
    </row>
    <row r="67" spans="2:38" x14ac:dyDescent="0.2">
      <c r="B67" s="20" t="s">
        <v>369</v>
      </c>
      <c r="C67" s="21" t="e">
        <f>'Kopējie pieņēmumi'!#REF!</f>
        <v>#REF!</v>
      </c>
      <c r="D67" s="21" t="e">
        <f>'Kopējie pieņēmumi'!#REF!</f>
        <v>#REF!</v>
      </c>
      <c r="E67" s="21" t="e">
        <f>'Kopējie pieņēmumi'!#REF!</f>
        <v>#REF!</v>
      </c>
      <c r="F67" s="21">
        <f>'Kopējie pieņēmumi'!B10</f>
        <v>1</v>
      </c>
      <c r="G67" s="21">
        <f>'Kopējie pieņēmumi'!C10</f>
        <v>1.03</v>
      </c>
      <c r="H67" s="21">
        <f>'Kopējie pieņēmumi'!D10</f>
        <v>1.06</v>
      </c>
      <c r="I67" s="21">
        <f>'Kopējie pieņēmumi'!E10</f>
        <v>1.08</v>
      </c>
      <c r="J67" s="21">
        <f>'Kopējie pieņēmumi'!F10</f>
        <v>1.1000000000000001</v>
      </c>
      <c r="K67" s="21">
        <f>'Kopējie pieņēmumi'!G10</f>
        <v>1.1200000000000001</v>
      </c>
      <c r="L67" s="21">
        <f>'Kopējie pieņēmumi'!H10</f>
        <v>1.1399999999999999</v>
      </c>
      <c r="M67" s="21">
        <f>'Kopējie pieņēmumi'!I10</f>
        <v>1.1599999999999999</v>
      </c>
      <c r="N67" s="21">
        <f>'Kopējie pieņēmumi'!J10</f>
        <v>1.18</v>
      </c>
      <c r="O67" s="21">
        <f>'Kopējie pieņēmumi'!K10</f>
        <v>1.2</v>
      </c>
      <c r="P67" s="21">
        <f>'Kopējie pieņēmumi'!L10</f>
        <v>1.22</v>
      </c>
      <c r="Q67" s="21">
        <f>'Kopējie pieņēmumi'!M10</f>
        <v>1.24</v>
      </c>
      <c r="R67" s="21">
        <f>'Kopējie pieņēmumi'!N10</f>
        <v>1.26</v>
      </c>
      <c r="S67" s="21">
        <f>'Kopējie pieņēmumi'!O10</f>
        <v>1.29</v>
      </c>
      <c r="T67" s="21">
        <f>'Kopējie pieņēmumi'!P10</f>
        <v>1.32</v>
      </c>
      <c r="U67" s="21">
        <f>'Kopējie pieņēmumi'!Q10</f>
        <v>1.35</v>
      </c>
      <c r="V67" s="21">
        <f>'Kopējie pieņēmumi'!R10</f>
        <v>1.38</v>
      </c>
      <c r="W67" s="21">
        <f>'Kopējie pieņēmumi'!S10</f>
        <v>1.41</v>
      </c>
      <c r="X67" s="21">
        <f>'Kopējie pieņēmumi'!T10</f>
        <v>1.44</v>
      </c>
      <c r="Y67" s="21">
        <f>'Kopējie pieņēmumi'!U10</f>
        <v>1.47</v>
      </c>
      <c r="Z67" s="21">
        <f>'Kopējie pieņēmumi'!V10</f>
        <v>1.5</v>
      </c>
      <c r="AA67" s="21">
        <f>'Kopējie pieņēmumi'!W10</f>
        <v>1.53</v>
      </c>
      <c r="AB67" s="21">
        <f>'Kopējie pieņēmumi'!X10</f>
        <v>1.56</v>
      </c>
      <c r="AC67" s="21">
        <f>'Kopējie pieņēmumi'!Y10</f>
        <v>1.59</v>
      </c>
      <c r="AD67" s="21">
        <f>'Kopējie pieņēmumi'!Z10</f>
        <v>1.62</v>
      </c>
      <c r="AE67" s="21">
        <f>'Kopējie pieņēmumi'!AA10</f>
        <v>1.65</v>
      </c>
      <c r="AF67" s="21">
        <f>'Kopējie pieņēmumi'!AB10</f>
        <v>1.68</v>
      </c>
      <c r="AG67" s="21">
        <f>'Kopējie pieņēmumi'!AC10</f>
        <v>1.71</v>
      </c>
      <c r="AH67" s="21">
        <f>'Kopējie pieņēmumi'!AD10</f>
        <v>1.74</v>
      </c>
      <c r="AI67" s="21">
        <f>'Kopējie pieņēmumi'!AE10</f>
        <v>1.77</v>
      </c>
      <c r="AJ67" s="21">
        <f>'Kopējie pieņēmumi'!AF10</f>
        <v>1.81</v>
      </c>
      <c r="AK67" s="21">
        <f>'Kopējie pieņēmumi'!AG10</f>
        <v>1.85</v>
      </c>
      <c r="AL67" s="21"/>
    </row>
    <row r="68" spans="2:38" ht="22.5" x14ac:dyDescent="0.2">
      <c r="B68" s="22" t="s">
        <v>370</v>
      </c>
      <c r="C68" s="21" t="e">
        <f>'Kopējie pieņēmumi'!#REF!</f>
        <v>#REF!</v>
      </c>
      <c r="D68" s="21" t="e">
        <f>'Kopējie pieņēmumi'!#REF!</f>
        <v>#REF!</v>
      </c>
      <c r="E68" s="21" t="e">
        <f>'Kopējie pieņēmumi'!#REF!</f>
        <v>#REF!</v>
      </c>
      <c r="F68" s="21">
        <f>'Kopējie pieņēmumi'!B11</f>
        <v>3.4000000000000002E-2</v>
      </c>
      <c r="G68" s="21">
        <f>'Kopējie pieņēmumi'!C11</f>
        <v>2.9000000000000001E-2</v>
      </c>
      <c r="H68" s="21">
        <f>'Kopējie pieņēmumi'!D11</f>
        <v>2.9000000000000001E-2</v>
      </c>
      <c r="I68" s="21">
        <f>'Kopējie pieņēmumi'!E11</f>
        <v>2.1000000000000001E-2</v>
      </c>
      <c r="J68" s="21">
        <f>'Kopējie pieņēmumi'!F11</f>
        <v>2.1000000000000001E-2</v>
      </c>
      <c r="K68" s="21">
        <f>'Kopējie pieņēmumi'!G11</f>
        <v>2.1000000000000001E-2</v>
      </c>
      <c r="L68" s="21">
        <f>'Kopējie pieņēmumi'!H11</f>
        <v>2.1000000000000001E-2</v>
      </c>
      <c r="M68" s="21">
        <f>'Kopējie pieņēmumi'!I11</f>
        <v>2.1000000000000001E-2</v>
      </c>
      <c r="N68" s="21">
        <f>'Kopējie pieņēmumi'!J11</f>
        <v>2.1000000000000001E-2</v>
      </c>
      <c r="O68" s="21">
        <f>'Kopējie pieņēmumi'!K11</f>
        <v>2.1000000000000001E-2</v>
      </c>
      <c r="P68" s="21">
        <f>'Kopējie pieņēmumi'!L11</f>
        <v>2.1000000000000001E-2</v>
      </c>
      <c r="Q68" s="21">
        <f>'Kopējie pieņēmumi'!M11</f>
        <v>2.1000000000000001E-2</v>
      </c>
      <c r="R68" s="21">
        <f>'Kopējie pieņēmumi'!N11</f>
        <v>2.1000000000000001E-2</v>
      </c>
      <c r="S68" s="21">
        <f>'Kopējie pieņēmumi'!O11</f>
        <v>2.1000000000000001E-2</v>
      </c>
      <c r="T68" s="21">
        <f>'Kopējie pieņēmumi'!P11</f>
        <v>2.1000000000000001E-2</v>
      </c>
      <c r="U68" s="21">
        <f>'Kopējie pieņēmumi'!Q11</f>
        <v>2.1000000000000001E-2</v>
      </c>
      <c r="V68" s="21">
        <f>'Kopējie pieņēmumi'!R11</f>
        <v>2.1000000000000001E-2</v>
      </c>
      <c r="W68" s="21">
        <f>'Kopējie pieņēmumi'!S11</f>
        <v>2.1000000000000001E-2</v>
      </c>
      <c r="X68" s="21">
        <f>'Kopējie pieņēmumi'!T11</f>
        <v>2.1000000000000001E-2</v>
      </c>
      <c r="Y68" s="21">
        <f>'Kopējie pieņēmumi'!U11</f>
        <v>2.1000000000000001E-2</v>
      </c>
      <c r="Z68" s="21">
        <f>'Kopējie pieņēmumi'!V11</f>
        <v>2.1000000000000001E-2</v>
      </c>
      <c r="AA68" s="21">
        <f>'Kopējie pieņēmumi'!W11</f>
        <v>2.1000000000000001E-2</v>
      </c>
      <c r="AB68" s="21">
        <f>'Kopējie pieņēmumi'!X11</f>
        <v>2.1000000000000001E-2</v>
      </c>
      <c r="AC68" s="21">
        <f>'Kopējie pieņēmumi'!Y11</f>
        <v>2.1000000000000001E-2</v>
      </c>
      <c r="AD68" s="21">
        <f>'Kopējie pieņēmumi'!Z11</f>
        <v>2.1000000000000001E-2</v>
      </c>
      <c r="AE68" s="21">
        <f>'Kopējie pieņēmumi'!AA11</f>
        <v>2.1000000000000001E-2</v>
      </c>
      <c r="AF68" s="21">
        <f>'Kopējie pieņēmumi'!AB11</f>
        <v>2.1000000000000001E-2</v>
      </c>
      <c r="AG68" s="21">
        <f>'Kopējie pieņēmumi'!AC11</f>
        <v>2.1000000000000001E-2</v>
      </c>
      <c r="AH68" s="21">
        <f>'Kopējie pieņēmumi'!AD11</f>
        <v>2.1000000000000001E-2</v>
      </c>
      <c r="AI68" s="21">
        <f>'Kopējie pieņēmumi'!AE11</f>
        <v>2.1000000000000001E-2</v>
      </c>
      <c r="AJ68" s="21">
        <f>'Kopējie pieņēmumi'!AF11</f>
        <v>2.1000000000000001E-2</v>
      </c>
      <c r="AK68" s="21">
        <f>'Kopējie pieņēmumi'!AG11</f>
        <v>2.1000000000000001E-2</v>
      </c>
      <c r="AL68" s="21"/>
    </row>
    <row r="69" spans="2:38" x14ac:dyDescent="0.2">
      <c r="B69" s="20" t="s">
        <v>369</v>
      </c>
      <c r="C69" s="21" t="e">
        <f>'Kopējie pieņēmumi'!#REF!</f>
        <v>#REF!</v>
      </c>
      <c r="D69" s="21" t="e">
        <f>'Kopējie pieņēmumi'!#REF!</f>
        <v>#REF!</v>
      </c>
      <c r="E69" s="21" t="e">
        <f>'Kopējie pieņēmumi'!#REF!</f>
        <v>#REF!</v>
      </c>
      <c r="F69" s="21">
        <f>'Kopējie pieņēmumi'!B12</f>
        <v>1</v>
      </c>
      <c r="G69" s="21">
        <f>'Kopējie pieņēmumi'!C12</f>
        <v>1.03</v>
      </c>
      <c r="H69" s="21">
        <f>'Kopējie pieņēmumi'!D12</f>
        <v>1.06</v>
      </c>
      <c r="I69" s="21">
        <f>'Kopējie pieņēmumi'!E12</f>
        <v>1.08</v>
      </c>
      <c r="J69" s="21">
        <f>'Kopējie pieņēmumi'!F12</f>
        <v>1.1000000000000001</v>
      </c>
      <c r="K69" s="21">
        <f>'Kopējie pieņēmumi'!G12</f>
        <v>1.1200000000000001</v>
      </c>
      <c r="L69" s="21">
        <f>'Kopējie pieņēmumi'!H12</f>
        <v>1.1399999999999999</v>
      </c>
      <c r="M69" s="21">
        <f>'Kopējie pieņēmumi'!I12</f>
        <v>1.1599999999999999</v>
      </c>
      <c r="N69" s="21">
        <f>'Kopējie pieņēmumi'!J12</f>
        <v>1.18</v>
      </c>
      <c r="O69" s="21">
        <f>'Kopējie pieņēmumi'!K12</f>
        <v>1.2</v>
      </c>
      <c r="P69" s="21">
        <f>'Kopējie pieņēmumi'!L12</f>
        <v>1.23</v>
      </c>
      <c r="Q69" s="21">
        <f>'Kopējie pieņēmumi'!M12</f>
        <v>1.26</v>
      </c>
      <c r="R69" s="21">
        <f>'Kopējie pieņēmumi'!N12</f>
        <v>1.29</v>
      </c>
      <c r="S69" s="21">
        <f>'Kopējie pieņēmumi'!O12</f>
        <v>1.32</v>
      </c>
      <c r="T69" s="21">
        <f>'Kopējie pieņēmumi'!P12</f>
        <v>1.35</v>
      </c>
      <c r="U69" s="21">
        <f>'Kopējie pieņēmumi'!Q12</f>
        <v>1.38</v>
      </c>
      <c r="V69" s="21">
        <f>'Kopējie pieņēmumi'!R12</f>
        <v>1.41</v>
      </c>
      <c r="W69" s="21">
        <f>'Kopējie pieņēmumi'!S12</f>
        <v>1.44</v>
      </c>
      <c r="X69" s="21">
        <f>'Kopējie pieņēmumi'!T12</f>
        <v>1.47</v>
      </c>
      <c r="Y69" s="21">
        <f>'Kopējie pieņēmumi'!U12</f>
        <v>1.5</v>
      </c>
      <c r="Z69" s="21">
        <f>'Kopējie pieņēmumi'!V12</f>
        <v>1.53</v>
      </c>
      <c r="AA69" s="21">
        <f>'Kopējie pieņēmumi'!W12</f>
        <v>1.56</v>
      </c>
      <c r="AB69" s="21">
        <f>'Kopējie pieņēmumi'!X12</f>
        <v>1.59</v>
      </c>
      <c r="AC69" s="21">
        <f>'Kopējie pieņēmumi'!Y12</f>
        <v>1.62</v>
      </c>
      <c r="AD69" s="21">
        <f>'Kopējie pieņēmumi'!Z12</f>
        <v>1.65</v>
      </c>
      <c r="AE69" s="21">
        <f>'Kopējie pieņēmumi'!AA12</f>
        <v>1.68</v>
      </c>
      <c r="AF69" s="21">
        <f>'Kopējie pieņēmumi'!AB12</f>
        <v>1.72</v>
      </c>
      <c r="AG69" s="21">
        <f>'Kopējie pieņēmumi'!AC12</f>
        <v>1.76</v>
      </c>
      <c r="AH69" s="21">
        <f>'Kopējie pieņēmumi'!AD12</f>
        <v>1.8</v>
      </c>
      <c r="AI69" s="21">
        <f>'Kopējie pieņēmumi'!AE12</f>
        <v>1.84</v>
      </c>
      <c r="AJ69" s="21">
        <f>'Kopējie pieņēmumi'!AF12</f>
        <v>1.88</v>
      </c>
      <c r="AK69" s="21">
        <f>'Kopējie pieņēmumi'!AG12</f>
        <v>1.92</v>
      </c>
      <c r="AL69" s="21"/>
    </row>
    <row r="70" spans="2:38" x14ac:dyDescent="0.2">
      <c r="B70" s="22" t="s">
        <v>371</v>
      </c>
      <c r="C70" s="21" t="e">
        <f>'Kopējie pieņēmumi'!#REF!</f>
        <v>#REF!</v>
      </c>
      <c r="D70" s="21" t="e">
        <f>'Kopējie pieņēmumi'!#REF!</f>
        <v>#REF!</v>
      </c>
      <c r="E70" s="21" t="e">
        <f>'Kopējie pieņēmumi'!#REF!</f>
        <v>#REF!</v>
      </c>
      <c r="F70" s="21">
        <f>'Kopējie pieņēmumi'!B13</f>
        <v>2.5000000000000001E-2</v>
      </c>
      <c r="G70" s="21">
        <f>'Kopējie pieņēmumi'!C13</f>
        <v>2.5000000000000001E-2</v>
      </c>
      <c r="H70" s="21">
        <f>'Kopējie pieņēmumi'!D13</f>
        <v>2.5000000000000001E-2</v>
      </c>
      <c r="I70" s="21">
        <f>'Kopējie pieņēmumi'!E13</f>
        <v>0.02</v>
      </c>
      <c r="J70" s="21">
        <f>'Kopējie pieņēmumi'!F13</f>
        <v>0.02</v>
      </c>
      <c r="K70" s="21">
        <f>'Kopējie pieņēmumi'!G13</f>
        <v>0.02</v>
      </c>
      <c r="L70" s="21">
        <f>'Kopējie pieņēmumi'!H13</f>
        <v>0.02</v>
      </c>
      <c r="M70" s="21">
        <f>'Kopējie pieņēmumi'!I13</f>
        <v>0.02</v>
      </c>
      <c r="N70" s="21">
        <f>'Kopējie pieņēmumi'!J13</f>
        <v>0.02</v>
      </c>
      <c r="O70" s="21">
        <f>'Kopējie pieņēmumi'!K13</f>
        <v>0.02</v>
      </c>
      <c r="P70" s="21">
        <f>'Kopējie pieņēmumi'!L13</f>
        <v>0.02</v>
      </c>
      <c r="Q70" s="21">
        <f>'Kopējie pieņēmumi'!M13</f>
        <v>0.02</v>
      </c>
      <c r="R70" s="21">
        <f>'Kopējie pieņēmumi'!N13</f>
        <v>0.02</v>
      </c>
      <c r="S70" s="21">
        <f>'Kopējie pieņēmumi'!O13</f>
        <v>0.02</v>
      </c>
      <c r="T70" s="21">
        <f>'Kopējie pieņēmumi'!P13</f>
        <v>0.02</v>
      </c>
      <c r="U70" s="21">
        <f>'Kopējie pieņēmumi'!Q13</f>
        <v>0.02</v>
      </c>
      <c r="V70" s="21">
        <f>'Kopējie pieņēmumi'!R13</f>
        <v>0.02</v>
      </c>
      <c r="W70" s="21">
        <f>'Kopējie pieņēmumi'!S13</f>
        <v>0.02</v>
      </c>
      <c r="X70" s="21">
        <f>'Kopējie pieņēmumi'!T13</f>
        <v>0.02</v>
      </c>
      <c r="Y70" s="21">
        <f>'Kopējie pieņēmumi'!U13</f>
        <v>0.02</v>
      </c>
      <c r="Z70" s="21">
        <f>'Kopējie pieņēmumi'!V13</f>
        <v>0.02</v>
      </c>
      <c r="AA70" s="21">
        <f>'Kopējie pieņēmumi'!W13</f>
        <v>0.02</v>
      </c>
      <c r="AB70" s="21">
        <f>'Kopējie pieņēmumi'!X13</f>
        <v>0.02</v>
      </c>
      <c r="AC70" s="21">
        <f>'Kopējie pieņēmumi'!Y13</f>
        <v>0.02</v>
      </c>
      <c r="AD70" s="21">
        <f>'Kopējie pieņēmumi'!Z13</f>
        <v>0.02</v>
      </c>
      <c r="AE70" s="21">
        <f>'Kopējie pieņēmumi'!AA13</f>
        <v>0.02</v>
      </c>
      <c r="AF70" s="21">
        <f>'Kopējie pieņēmumi'!AB13</f>
        <v>0.02</v>
      </c>
      <c r="AG70" s="21">
        <f>'Kopējie pieņēmumi'!AC13</f>
        <v>0.02</v>
      </c>
      <c r="AH70" s="21">
        <f>'Kopējie pieņēmumi'!AD13</f>
        <v>0.02</v>
      </c>
      <c r="AI70" s="21">
        <f>'Kopējie pieņēmumi'!AE13</f>
        <v>0.02</v>
      </c>
      <c r="AJ70" s="21">
        <f>'Kopējie pieņēmumi'!AF13</f>
        <v>0.02</v>
      </c>
      <c r="AK70" s="21">
        <f>'Kopējie pieņēmumi'!AG13</f>
        <v>0.02</v>
      </c>
      <c r="AL70" s="21"/>
    </row>
    <row r="71" spans="2:38" x14ac:dyDescent="0.2">
      <c r="B71" s="20" t="s">
        <v>369</v>
      </c>
      <c r="C71" s="21" t="e">
        <f>'Kopējie pieņēmumi'!#REF!</f>
        <v>#REF!</v>
      </c>
      <c r="D71" s="21" t="e">
        <f>'Kopējie pieņēmumi'!#REF!</f>
        <v>#REF!</v>
      </c>
      <c r="E71" s="21" t="e">
        <f>'Kopējie pieņēmumi'!#REF!</f>
        <v>#REF!</v>
      </c>
      <c r="F71" s="21">
        <f>'Kopējie pieņēmumi'!B14</f>
        <v>1</v>
      </c>
      <c r="G71" s="21">
        <f>'Kopējie pieņēmumi'!C14</f>
        <v>1.03</v>
      </c>
      <c r="H71" s="21">
        <f>'Kopējie pieņēmumi'!D14</f>
        <v>1.06</v>
      </c>
      <c r="I71" s="21">
        <f>'Kopējie pieņēmumi'!E14</f>
        <v>1.08</v>
      </c>
      <c r="J71" s="21">
        <f>'Kopējie pieņēmumi'!F14</f>
        <v>1.1000000000000001</v>
      </c>
      <c r="K71" s="21">
        <f>'Kopējie pieņēmumi'!G14</f>
        <v>1.1200000000000001</v>
      </c>
      <c r="L71" s="21">
        <f>'Kopējie pieņēmumi'!H14</f>
        <v>1.1399999999999999</v>
      </c>
      <c r="M71" s="21">
        <f>'Kopējie pieņēmumi'!I14</f>
        <v>1.1599999999999999</v>
      </c>
      <c r="N71" s="21">
        <f>'Kopējie pieņēmumi'!J14</f>
        <v>1.18</v>
      </c>
      <c r="O71" s="21">
        <f>'Kopējie pieņēmumi'!K14</f>
        <v>1.2</v>
      </c>
      <c r="P71" s="21">
        <f>'Kopējie pieņēmumi'!L14</f>
        <v>1.22</v>
      </c>
      <c r="Q71" s="21">
        <f>'Kopējie pieņēmumi'!M14</f>
        <v>1.24</v>
      </c>
      <c r="R71" s="21">
        <f>'Kopējie pieņēmumi'!N14</f>
        <v>1.26</v>
      </c>
      <c r="S71" s="21">
        <f>'Kopējie pieņēmumi'!O14</f>
        <v>1.29</v>
      </c>
      <c r="T71" s="21">
        <f>'Kopējie pieņēmumi'!P14</f>
        <v>1.32</v>
      </c>
      <c r="U71" s="21">
        <f>'Kopējie pieņēmumi'!Q14</f>
        <v>1.35</v>
      </c>
      <c r="V71" s="21">
        <f>'Kopējie pieņēmumi'!R14</f>
        <v>1.38</v>
      </c>
      <c r="W71" s="21">
        <f>'Kopējie pieņēmumi'!S14</f>
        <v>1.41</v>
      </c>
      <c r="X71" s="21">
        <f>'Kopējie pieņēmumi'!T14</f>
        <v>1.44</v>
      </c>
      <c r="Y71" s="21">
        <f>'Kopējie pieņēmumi'!U14</f>
        <v>1.47</v>
      </c>
      <c r="Z71" s="21">
        <f>'Kopējie pieņēmumi'!V14</f>
        <v>1.5</v>
      </c>
      <c r="AA71" s="21">
        <f>'Kopējie pieņēmumi'!W14</f>
        <v>1.53</v>
      </c>
      <c r="AB71" s="21">
        <f>'Kopējie pieņēmumi'!X14</f>
        <v>1.56</v>
      </c>
      <c r="AC71" s="21">
        <f>'Kopējie pieņēmumi'!Y14</f>
        <v>1.59</v>
      </c>
      <c r="AD71" s="21">
        <f>'Kopējie pieņēmumi'!Z14</f>
        <v>1.62</v>
      </c>
      <c r="AE71" s="21">
        <f>'Kopējie pieņēmumi'!AA14</f>
        <v>1.65</v>
      </c>
      <c r="AF71" s="21">
        <f>'Kopējie pieņēmumi'!AB14</f>
        <v>1.68</v>
      </c>
      <c r="AG71" s="21">
        <f>'Kopējie pieņēmumi'!AC14</f>
        <v>1.71</v>
      </c>
      <c r="AH71" s="21">
        <f>'Kopējie pieņēmumi'!AD14</f>
        <v>1.74</v>
      </c>
      <c r="AI71" s="21">
        <f>'Kopējie pieņēmumi'!AE14</f>
        <v>1.77</v>
      </c>
      <c r="AJ71" s="21">
        <f>'Kopējie pieņēmumi'!AF14</f>
        <v>1.81</v>
      </c>
      <c r="AK71" s="21">
        <f>'Kopējie pieņēmumi'!AG14</f>
        <v>1.85</v>
      </c>
      <c r="AL71" s="21"/>
    </row>
    <row r="73" spans="2:38" ht="22.5" x14ac:dyDescent="0.2">
      <c r="B73" s="4" t="s">
        <v>373</v>
      </c>
      <c r="C73" s="13">
        <v>0</v>
      </c>
      <c r="D73" s="13">
        <f>'Datu ievade'!B226</f>
        <v>0</v>
      </c>
      <c r="E73" s="13">
        <f>'Datu ievade'!C226</f>
        <v>0</v>
      </c>
      <c r="F73" s="14">
        <f>'Datu ievade'!D226</f>
        <v>0</v>
      </c>
      <c r="G73" s="13">
        <f>'Datu ievade'!E226</f>
        <v>0</v>
      </c>
      <c r="H73" s="13">
        <f>'Datu ievade'!F226</f>
        <v>0</v>
      </c>
      <c r="I73" s="13">
        <f>'Datu ievade'!G226</f>
        <v>0</v>
      </c>
      <c r="J73" s="13">
        <f>'Datu ievade'!H226</f>
        <v>0</v>
      </c>
      <c r="K73" s="13">
        <f>'Datu ievade'!I226</f>
        <v>0</v>
      </c>
      <c r="L73" s="13">
        <f>'Datu ievade'!J226</f>
        <v>0</v>
      </c>
      <c r="M73" s="13">
        <f>'Datu ievade'!K226</f>
        <v>0</v>
      </c>
      <c r="N73" s="13">
        <f>'Datu ievade'!L226</f>
        <v>0</v>
      </c>
      <c r="O73" s="13">
        <f>'Datu ievade'!M226</f>
        <v>0</v>
      </c>
      <c r="P73" s="13">
        <f>'Datu ievade'!N226</f>
        <v>0</v>
      </c>
      <c r="Q73" s="13">
        <f>'Datu ievade'!O226</f>
        <v>0</v>
      </c>
      <c r="R73" s="13">
        <f>'Datu ievade'!P226</f>
        <v>0</v>
      </c>
      <c r="S73" s="13">
        <f>'Datu ievade'!Q226</f>
        <v>0</v>
      </c>
      <c r="T73" s="13">
        <f>'Datu ievade'!R226</f>
        <v>0</v>
      </c>
      <c r="U73" s="13">
        <f>'Datu ievade'!S226</f>
        <v>0</v>
      </c>
      <c r="V73" s="13">
        <f>'Datu ievade'!T226</f>
        <v>0</v>
      </c>
      <c r="W73" s="13">
        <f>'Datu ievade'!U226</f>
        <v>0</v>
      </c>
      <c r="X73" s="13">
        <f>'Datu ievade'!V226</f>
        <v>0</v>
      </c>
      <c r="Y73" s="13">
        <f>'Datu ievade'!W226</f>
        <v>0</v>
      </c>
      <c r="Z73" s="13">
        <f>'Datu ievade'!X226</f>
        <v>0</v>
      </c>
      <c r="AA73" s="13">
        <f>'Datu ievade'!Y226</f>
        <v>0</v>
      </c>
      <c r="AB73" s="13">
        <f>'Datu ievade'!Z226</f>
        <v>0</v>
      </c>
      <c r="AC73" s="13">
        <f>'Datu ievade'!AA226</f>
        <v>0</v>
      </c>
      <c r="AD73" s="13">
        <f>'Datu ievade'!AB226</f>
        <v>0</v>
      </c>
      <c r="AE73" s="13">
        <f>'Datu ievade'!AC226</f>
        <v>0</v>
      </c>
      <c r="AF73" s="13">
        <f>'Datu ievade'!AD226</f>
        <v>0</v>
      </c>
      <c r="AG73" s="13">
        <f>'Datu ievade'!AE226</f>
        <v>0</v>
      </c>
      <c r="AH73" s="13">
        <f>'Datu ievade'!AF226</f>
        <v>0</v>
      </c>
      <c r="AI73" s="13">
        <f>'Datu ievade'!AG226</f>
        <v>0</v>
      </c>
      <c r="AJ73" s="13" t="e">
        <f>'Datu ievade'!#REF!</f>
        <v>#REF!</v>
      </c>
      <c r="AK73" s="13" t="e">
        <f>'Datu ievade'!#REF!</f>
        <v>#REF!</v>
      </c>
    </row>
    <row r="74" spans="2:38" x14ac:dyDescent="0.2">
      <c r="B74" s="2" t="s">
        <v>364</v>
      </c>
      <c r="C74" s="13">
        <v>0</v>
      </c>
      <c r="D74" s="13">
        <f>IF(OR(D2&lt;'Datu ievade'!$B$17,NOT(SUM($C$74:C74)&lt;SUM($C$73:C73))),0,SUM($C$73:$AI$73)/'Datu ievade'!B228)</f>
        <v>0</v>
      </c>
      <c r="E74" s="13">
        <f>IF(OR(E2&lt;'Datu ievade'!$B$17,NOT(SUM($C$74:D74)&lt;SUM($C$73:D73))),0,SUM($C$73:$AI$73)/'Datu ievade'!$B$228)</f>
        <v>0</v>
      </c>
      <c r="F74" s="13">
        <f>IF(OR(F2&lt;'Datu ievade'!$B$17,NOT(SUM($C$74:E74)&lt;SUM($C$73:E73))),0,SUM($C$73:$AI$73)/'Datu ievade'!$B$228)</f>
        <v>0</v>
      </c>
      <c r="G74" s="13">
        <f>IF(OR(G2&lt;'Datu ievade'!$B$17,NOT(SUM($C$74:F74)&lt;SUM($C$73:F73))),0,SUM($C$73:$AI$73)/'Datu ievade'!$B$228)</f>
        <v>0</v>
      </c>
      <c r="H74" s="13">
        <f>IF(OR(H2&lt;'Datu ievade'!$B$17,NOT(SUM($C$74:G74)&lt;SUM($C$73:G73))),0,SUM($C$73:$AI$73)/'Datu ievade'!$B$228)</f>
        <v>0</v>
      </c>
      <c r="I74" s="13">
        <f>IF(OR(I2&lt;'Datu ievade'!$B$17,NOT(SUM($C$74:H74)&lt;SUM($C$73:H73))),0,SUM($C$73:$AI$73)/'Datu ievade'!$B$228)</f>
        <v>0</v>
      </c>
      <c r="J74" s="13">
        <f>IF(OR(J2&lt;'Datu ievade'!$B$17,NOT(SUM($C$74:I74)&lt;SUM($C$73:I73))),0,SUM($C$73:$AI$73)/'Datu ievade'!$B$228)</f>
        <v>0</v>
      </c>
      <c r="K74" s="13">
        <f>IF(OR(K2&lt;'Datu ievade'!$B$17,NOT(SUM($C$74:J74)&lt;SUM($C$73:J73))),0,SUM($C$73:$AI$73)/'Datu ievade'!$B$228)</f>
        <v>0</v>
      </c>
      <c r="L74" s="13">
        <f>IF(OR(L2&lt;'Datu ievade'!$B$17,NOT(SUM($C$74:K74)&lt;SUM($C$73:K73))),0,SUM($C$73:$AI$73)/'Datu ievade'!$B$228)</f>
        <v>0</v>
      </c>
      <c r="M74" s="13">
        <f>IF(OR(M2&lt;'Datu ievade'!$B$17,NOT(SUM($C$74:L74)&lt;SUM($C$73:L73))),0,SUM($C$73:$AI$73)/'Datu ievade'!$B$228)</f>
        <v>0</v>
      </c>
      <c r="N74" s="13">
        <f>IF(OR(N2&lt;'Datu ievade'!$B$17,NOT(SUM($C$74:M74)&lt;SUM($C$73:M73))),0,SUM($C$73:$AI$73)/'Datu ievade'!$B$228)</f>
        <v>0</v>
      </c>
      <c r="O74" s="13">
        <f>IF(OR(O2&lt;'Datu ievade'!$B$17,NOT(SUM($C$74:N74)&lt;SUM($C$73:N73))),0,SUM($C$73:$AI$73)/'Datu ievade'!$B$228)</f>
        <v>0</v>
      </c>
      <c r="P74" s="13">
        <f>IF(OR(P2&lt;'Datu ievade'!$B$17,NOT(SUM($C$74:O74)&lt;SUM($C$73:O73))),0,SUM($C$73:$AI$73)/'Datu ievade'!$B$228)</f>
        <v>0</v>
      </c>
      <c r="Q74" s="13">
        <f>IF(OR(Q2&lt;'Datu ievade'!$B$17,NOT(SUM($C$74:P74)&lt;SUM($C$73:P73))),0,SUM($C$73:$AI$73)/'Datu ievade'!$B$228)</f>
        <v>0</v>
      </c>
      <c r="R74" s="13">
        <f>IF(OR(R2&lt;'Datu ievade'!$B$17,NOT(SUM($C$74:Q74)&lt;SUM($C$73:Q73))),0,SUM($C$73:$AI$73)/'Datu ievade'!$B$228)</f>
        <v>0</v>
      </c>
      <c r="S74" s="13">
        <f>IF(OR(S2&lt;'Datu ievade'!$B$17,NOT(SUM($C$74:R74)&lt;SUM($C$73:R73))),0,SUM($C$73:$AI$73)/'Datu ievade'!$B$228)</f>
        <v>0</v>
      </c>
      <c r="T74" s="13">
        <f>IF(OR(T2&lt;'Datu ievade'!$B$17,NOT(SUM($C$74:S74)&lt;SUM($C$73:S73))),0,SUM($C$73:$AI$73)/'Datu ievade'!$B$228)</f>
        <v>0</v>
      </c>
      <c r="U74" s="13">
        <f>IF(OR(U2&lt;'Datu ievade'!$B$17,NOT(SUM($C$74:T74)&lt;SUM($C$73:T73))),0,SUM($C$73:$AI$73)/'Datu ievade'!$B$228)</f>
        <v>0</v>
      </c>
      <c r="V74" s="13">
        <f>IF(OR(V2&lt;'Datu ievade'!$B$17,NOT(SUM($C$74:U74)&lt;SUM($C$73:U73))),0,SUM($C$73:$AI$73)/'Datu ievade'!$B$228)</f>
        <v>0</v>
      </c>
      <c r="W74" s="13">
        <f>IF(OR(W2&lt;'Datu ievade'!$B$17,NOT(SUM($C$74:V74)&lt;SUM($C$73:V73))),0,SUM($C$73:$AI$73)/'Datu ievade'!$B$228)</f>
        <v>0</v>
      </c>
      <c r="X74" s="13">
        <f>IF(OR(X2&lt;'Datu ievade'!$B$17,NOT(SUM($C$74:W74)&lt;SUM($C$73:W73))),0,SUM($C$73:$AI$73)/'Datu ievade'!$B$228)</f>
        <v>0</v>
      </c>
      <c r="Y74" s="13">
        <f>IF(OR(Y2&lt;'Datu ievade'!$B$17,NOT(SUM($C$74:X74)&lt;SUM($C$73:X73))),0,SUM($C$73:$AI$73)/'Datu ievade'!$B$228)</f>
        <v>0</v>
      </c>
      <c r="Z74" s="13">
        <f>IF(OR(Z2&lt;'Datu ievade'!$B$17,NOT(SUM($C$74:Y74)&lt;SUM($C$73:Y73))),0,SUM($C$73:$AI$73)/'Datu ievade'!$B$228)</f>
        <v>0</v>
      </c>
      <c r="AA74" s="13">
        <f>IF(OR(AA2&lt;'Datu ievade'!$B$17,NOT(SUM($C$74:Z74)&lt;SUM($C$73:Z73))),0,SUM($C$73:$AI$73)/'Datu ievade'!$B$228)</f>
        <v>0</v>
      </c>
      <c r="AB74" s="13">
        <f>IF(OR(AB2&lt;'Datu ievade'!$B$17,NOT(SUM($C$74:AA74)&lt;SUM($C$73:AA73))),0,SUM($C$73:$AI$73)/'Datu ievade'!$B$228)</f>
        <v>0</v>
      </c>
      <c r="AC74" s="13">
        <f>IF(OR(AC2&lt;'Datu ievade'!$B$17,NOT(SUM($C$74:AB74)&lt;SUM($C$73:AB73))),0,SUM($C$73:$AI$73)/'Datu ievade'!$B$228)</f>
        <v>0</v>
      </c>
      <c r="AD74" s="13">
        <f>IF(OR(AD2&lt;'Datu ievade'!$B$17,NOT(SUM($C$74:AC74)&lt;SUM($C$73:AC73))),0,SUM($C$73:$AI$73)/'Datu ievade'!$B$228)</f>
        <v>0</v>
      </c>
      <c r="AE74" s="13">
        <f>IF(OR(AE2&lt;'Datu ievade'!$B$17,NOT(SUM($C$74:AD74)&lt;SUM($C$73:AD73))),0,SUM($C$73:$AI$73)/'Datu ievade'!$B$228)</f>
        <v>0</v>
      </c>
      <c r="AF74" s="13">
        <f>IF(OR(AF2&lt;'Datu ievade'!$B$17,NOT(SUM($C$74:AE74)&lt;SUM($C$73:AE73))),0,SUM($C$73:$AI$73)/'Datu ievade'!$B$228)</f>
        <v>0</v>
      </c>
      <c r="AG74" s="13">
        <f>IF(OR(AG2&lt;'Datu ievade'!$B$17,NOT(SUM($C$74:AF74)&lt;SUM($C$73:AF73))),0,SUM($C$73:$AI$73)/'Datu ievade'!$B$228)</f>
        <v>0</v>
      </c>
      <c r="AH74" s="13">
        <f>IF(OR(AH2&lt;'Datu ievade'!$B$17,NOT(SUM($C$74:AG74)&lt;SUM($C$73:AG73))),0,SUM($C$73:$AI$73)/'Datu ievade'!$B$228)</f>
        <v>0</v>
      </c>
      <c r="AI74" s="13">
        <f>IF(OR(AI2&lt;'Datu ievade'!$B$17,NOT(SUM($C$74:AH74)&lt;SUM($C$73:AH73))),0,SUM($C$73:$AI$73)/'Datu ievade'!$B$228)</f>
        <v>0</v>
      </c>
      <c r="AJ74" s="13">
        <f>IF(OR(AJ2&lt;'Datu ievade'!$B$17,NOT(SUM($C$74:AI74)&lt;SUM($C$73:AI73))),0,SUM($C$73:$AI$73)/'Datu ievade'!$B$228)</f>
        <v>0</v>
      </c>
      <c r="AK74" s="13" t="e">
        <f>IF(OR(AK2&lt;'Datu ievade'!$B$17,NOT(SUM($C$74:AJ74)&lt;SUM($C$73:AJ73))),0,SUM($C$73:$AI$73)/'Datu ievade'!$B$228)</f>
        <v>#REF!</v>
      </c>
    </row>
    <row r="75" spans="2:38" x14ac:dyDescent="0.2">
      <c r="B75" s="2" t="s">
        <v>374</v>
      </c>
      <c r="C75" s="13">
        <v>0</v>
      </c>
      <c r="D75" s="13">
        <f>C75+D73-D74</f>
        <v>0</v>
      </c>
      <c r="E75" s="13">
        <f t="shared" ref="E75:AK75" si="5">D75+E73-E74</f>
        <v>0</v>
      </c>
      <c r="F75" s="13">
        <f t="shared" si="5"/>
        <v>0</v>
      </c>
      <c r="G75" s="13">
        <f t="shared" si="5"/>
        <v>0</v>
      </c>
      <c r="H75" s="13">
        <f t="shared" si="5"/>
        <v>0</v>
      </c>
      <c r="I75" s="13">
        <f t="shared" si="5"/>
        <v>0</v>
      </c>
      <c r="J75" s="13">
        <f t="shared" si="5"/>
        <v>0</v>
      </c>
      <c r="K75" s="13">
        <f t="shared" si="5"/>
        <v>0</v>
      </c>
      <c r="L75" s="13">
        <f t="shared" si="5"/>
        <v>0</v>
      </c>
      <c r="M75" s="13">
        <f t="shared" si="5"/>
        <v>0</v>
      </c>
      <c r="N75" s="13">
        <f t="shared" si="5"/>
        <v>0</v>
      </c>
      <c r="O75" s="13">
        <f t="shared" si="5"/>
        <v>0</v>
      </c>
      <c r="P75" s="13">
        <f t="shared" si="5"/>
        <v>0</v>
      </c>
      <c r="Q75" s="13">
        <f t="shared" si="5"/>
        <v>0</v>
      </c>
      <c r="R75" s="13">
        <f t="shared" si="5"/>
        <v>0</v>
      </c>
      <c r="S75" s="13">
        <f t="shared" si="5"/>
        <v>0</v>
      </c>
      <c r="T75" s="13">
        <f t="shared" si="5"/>
        <v>0</v>
      </c>
      <c r="U75" s="13">
        <f t="shared" si="5"/>
        <v>0</v>
      </c>
      <c r="V75" s="13">
        <f t="shared" si="5"/>
        <v>0</v>
      </c>
      <c r="W75" s="13">
        <f t="shared" si="5"/>
        <v>0</v>
      </c>
      <c r="X75" s="13">
        <f t="shared" si="5"/>
        <v>0</v>
      </c>
      <c r="Y75" s="13">
        <f t="shared" si="5"/>
        <v>0</v>
      </c>
      <c r="Z75" s="13">
        <f t="shared" si="5"/>
        <v>0</v>
      </c>
      <c r="AA75" s="13">
        <f t="shared" si="5"/>
        <v>0</v>
      </c>
      <c r="AB75" s="13">
        <f t="shared" si="5"/>
        <v>0</v>
      </c>
      <c r="AC75" s="13">
        <f t="shared" si="5"/>
        <v>0</v>
      </c>
      <c r="AD75" s="13">
        <f t="shared" si="5"/>
        <v>0</v>
      </c>
      <c r="AE75" s="13">
        <f t="shared" si="5"/>
        <v>0</v>
      </c>
      <c r="AF75" s="13">
        <f t="shared" si="5"/>
        <v>0</v>
      </c>
      <c r="AG75" s="13">
        <f t="shared" si="5"/>
        <v>0</v>
      </c>
      <c r="AH75" s="13">
        <f t="shared" si="5"/>
        <v>0</v>
      </c>
      <c r="AI75" s="13">
        <f t="shared" si="5"/>
        <v>0</v>
      </c>
      <c r="AJ75" s="13" t="e">
        <f t="shared" si="5"/>
        <v>#REF!</v>
      </c>
      <c r="AK75" s="13" t="e">
        <f t="shared" si="5"/>
        <v>#REF!</v>
      </c>
    </row>
    <row r="76" spans="2:38" x14ac:dyDescent="0.2">
      <c r="B76" s="2" t="s">
        <v>375</v>
      </c>
      <c r="C76" s="13">
        <v>0</v>
      </c>
      <c r="D76" s="13">
        <f>C75*'Datu ievade'!$B$227</f>
        <v>0</v>
      </c>
      <c r="E76" s="13">
        <f>D75*'Datu ievade'!$B$227</f>
        <v>0</v>
      </c>
      <c r="F76" s="13">
        <f>E75*'Datu ievade'!$B$227</f>
        <v>0</v>
      </c>
      <c r="G76" s="13">
        <f>F75*'Datu ievade'!$B$227</f>
        <v>0</v>
      </c>
      <c r="H76" s="13">
        <f>G75*'Datu ievade'!$B$227</f>
        <v>0</v>
      </c>
      <c r="I76" s="13">
        <f>H75*'Datu ievade'!$B$227</f>
        <v>0</v>
      </c>
      <c r="J76" s="13">
        <f>I75*'Datu ievade'!$B$227</f>
        <v>0</v>
      </c>
      <c r="K76" s="13">
        <f>J75*'Datu ievade'!$B$227</f>
        <v>0</v>
      </c>
      <c r="L76" s="13">
        <f>K75*'Datu ievade'!$B$227</f>
        <v>0</v>
      </c>
      <c r="M76" s="13">
        <f>L75*'Datu ievade'!$B$227</f>
        <v>0</v>
      </c>
      <c r="N76" s="13">
        <f>M75*'Datu ievade'!$B$227</f>
        <v>0</v>
      </c>
      <c r="O76" s="13">
        <f>N75*'Datu ievade'!$B$227</f>
        <v>0</v>
      </c>
      <c r="P76" s="13">
        <f>O75*'Datu ievade'!$B$227</f>
        <v>0</v>
      </c>
      <c r="Q76" s="13">
        <f>P75*'Datu ievade'!$B$227</f>
        <v>0</v>
      </c>
      <c r="R76" s="13">
        <f>Q75*'Datu ievade'!$B$227</f>
        <v>0</v>
      </c>
      <c r="S76" s="13">
        <f>R75*'Datu ievade'!$B$227</f>
        <v>0</v>
      </c>
      <c r="T76" s="13">
        <f>S75*'Datu ievade'!$B$227</f>
        <v>0</v>
      </c>
      <c r="U76" s="13">
        <f>T75*'Datu ievade'!$B$227</f>
        <v>0</v>
      </c>
      <c r="V76" s="13">
        <f>U75*'Datu ievade'!$B$227</f>
        <v>0</v>
      </c>
      <c r="W76" s="13">
        <f>V75*'Datu ievade'!$B$227</f>
        <v>0</v>
      </c>
      <c r="X76" s="13">
        <f>W75*'Datu ievade'!$B$227</f>
        <v>0</v>
      </c>
      <c r="Y76" s="13">
        <f>X75*'Datu ievade'!$B$227</f>
        <v>0</v>
      </c>
      <c r="Z76" s="13">
        <f>Y75*'Datu ievade'!$B$227</f>
        <v>0</v>
      </c>
      <c r="AA76" s="13">
        <f>Z75*'Datu ievade'!$B$227</f>
        <v>0</v>
      </c>
      <c r="AB76" s="13">
        <f>AA75*'Datu ievade'!$B$227</f>
        <v>0</v>
      </c>
      <c r="AC76" s="13">
        <f>AB75*'Datu ievade'!$B$227</f>
        <v>0</v>
      </c>
      <c r="AD76" s="13">
        <f>AC75*'Datu ievade'!$B$227</f>
        <v>0</v>
      </c>
      <c r="AE76" s="13">
        <f>AD75*'Datu ievade'!$B$227</f>
        <v>0</v>
      </c>
      <c r="AF76" s="13">
        <f>AE75*'Datu ievade'!$B$227</f>
        <v>0</v>
      </c>
      <c r="AG76" s="13">
        <f>AF75*'Datu ievade'!$B$227</f>
        <v>0</v>
      </c>
      <c r="AH76" s="13">
        <f>AG75*'Datu ievade'!$B$227</f>
        <v>0</v>
      </c>
      <c r="AI76" s="13">
        <f>AH75*'Datu ievade'!$B$227</f>
        <v>0</v>
      </c>
      <c r="AJ76" s="13">
        <f>AI75*'Datu ievade'!$B$227</f>
        <v>0</v>
      </c>
      <c r="AK76" s="13" t="e">
        <f>AJ75*'Datu ievade'!$B$227</f>
        <v>#REF!</v>
      </c>
    </row>
  </sheetData>
  <sheetProtection sheet="1" objects="1" scenarios="1"/>
  <phoneticPr fontId="2" type="noConversion"/>
  <pageMargins left="0.7" right="0.7" top="0.75" bottom="0.75" header="0.3" footer="0.3"/>
  <pageSetup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zoomScale="85" workbookViewId="0">
      <selection activeCell="W11" sqref="W11"/>
    </sheetView>
  </sheetViews>
  <sheetFormatPr defaultRowHeight="10.5" x14ac:dyDescent="0.2"/>
  <cols>
    <col min="1" max="1" width="64.140625" style="94" customWidth="1"/>
    <col min="2" max="38" width="8.7109375" style="94" customWidth="1"/>
    <col min="39" max="16384" width="9.140625" style="94"/>
  </cols>
  <sheetData>
    <row r="1" spans="1:34" ht="19.5" x14ac:dyDescent="0.2">
      <c r="A1" s="492" t="str">
        <f>'Datu ievade'!B12</f>
        <v>SIA "Dobeles Ūdens"</v>
      </c>
    </row>
    <row r="2" spans="1:34" ht="18" x14ac:dyDescent="0.2">
      <c r="A2" s="645" t="str">
        <f>'Datu ievade'!B13</f>
        <v>"Kanalizācijas tīklu paplašināšana Dobeles aglomerācijā" II kārta</v>
      </c>
      <c r="B2" s="595"/>
      <c r="C2" s="595"/>
    </row>
    <row r="3" spans="1:34" ht="18" x14ac:dyDescent="0.2">
      <c r="A3" s="491" t="s">
        <v>376</v>
      </c>
      <c r="B3" s="491"/>
    </row>
    <row r="4" spans="1:34" ht="15" customHeight="1" x14ac:dyDescent="0.2">
      <c r="A4" s="403" t="s">
        <v>377</v>
      </c>
      <c r="B4" s="268"/>
      <c r="C4" s="268"/>
      <c r="D4" s="268"/>
    </row>
    <row r="5" spans="1:34" s="9" customFormat="1" ht="12.75" x14ac:dyDescent="0.2">
      <c r="A5" s="405"/>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row>
    <row r="6" spans="1:34" s="9" customFormat="1" ht="14.25" x14ac:dyDescent="0.2">
      <c r="A6" s="408" t="s">
        <v>367</v>
      </c>
      <c r="B6" s="404"/>
      <c r="C6" s="404"/>
      <c r="D6" s="404"/>
      <c r="E6" s="404"/>
      <c r="F6" s="404"/>
      <c r="G6" s="404"/>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row>
    <row r="7" spans="1:34" s="9" customFormat="1" ht="12.75" x14ac:dyDescent="0.2">
      <c r="A7" s="95"/>
      <c r="B7" s="96">
        <v>2017</v>
      </c>
      <c r="C7" s="96">
        <f t="shared" ref="C7:AC8" si="0">B7+1</f>
        <v>2018</v>
      </c>
      <c r="D7" s="96">
        <f t="shared" si="0"/>
        <v>2019</v>
      </c>
      <c r="E7" s="96">
        <f t="shared" si="0"/>
        <v>2020</v>
      </c>
      <c r="F7" s="96">
        <f t="shared" si="0"/>
        <v>2021</v>
      </c>
      <c r="G7" s="96">
        <f t="shared" si="0"/>
        <v>2022</v>
      </c>
      <c r="H7" s="96">
        <f t="shared" si="0"/>
        <v>2023</v>
      </c>
      <c r="I7" s="96">
        <f t="shared" si="0"/>
        <v>2024</v>
      </c>
      <c r="J7" s="96">
        <f t="shared" si="0"/>
        <v>2025</v>
      </c>
      <c r="K7" s="96">
        <f t="shared" si="0"/>
        <v>2026</v>
      </c>
      <c r="L7" s="96">
        <f t="shared" si="0"/>
        <v>2027</v>
      </c>
      <c r="M7" s="96">
        <f t="shared" si="0"/>
        <v>2028</v>
      </c>
      <c r="N7" s="96">
        <f t="shared" si="0"/>
        <v>2029</v>
      </c>
      <c r="O7" s="96">
        <f t="shared" si="0"/>
        <v>2030</v>
      </c>
      <c r="P7" s="96">
        <f t="shared" si="0"/>
        <v>2031</v>
      </c>
      <c r="Q7" s="96">
        <f t="shared" si="0"/>
        <v>2032</v>
      </c>
      <c r="R7" s="96">
        <f t="shared" si="0"/>
        <v>2033</v>
      </c>
      <c r="S7" s="96">
        <f t="shared" si="0"/>
        <v>2034</v>
      </c>
      <c r="T7" s="96">
        <f t="shared" si="0"/>
        <v>2035</v>
      </c>
      <c r="U7" s="96">
        <f t="shared" si="0"/>
        <v>2036</v>
      </c>
      <c r="V7" s="96">
        <f t="shared" si="0"/>
        <v>2037</v>
      </c>
      <c r="W7" s="96">
        <f t="shared" si="0"/>
        <v>2038</v>
      </c>
      <c r="X7" s="96">
        <f t="shared" si="0"/>
        <v>2039</v>
      </c>
      <c r="Y7" s="96">
        <f t="shared" si="0"/>
        <v>2040</v>
      </c>
      <c r="Z7" s="96">
        <f t="shared" si="0"/>
        <v>2041</v>
      </c>
      <c r="AA7" s="96">
        <f t="shared" si="0"/>
        <v>2042</v>
      </c>
      <c r="AB7" s="96">
        <f t="shared" si="0"/>
        <v>2043</v>
      </c>
      <c r="AC7" s="96">
        <f t="shared" si="0"/>
        <v>2044</v>
      </c>
      <c r="AD7" s="96">
        <f t="shared" ref="AC7:AF8" si="1">AC7+1</f>
        <v>2045</v>
      </c>
      <c r="AE7" s="96">
        <f t="shared" si="1"/>
        <v>2046</v>
      </c>
      <c r="AF7" s="96">
        <f t="shared" si="1"/>
        <v>2047</v>
      </c>
      <c r="AG7" s="96">
        <f>AF7+1</f>
        <v>2048</v>
      </c>
      <c r="AH7" s="96">
        <f>AG7+1</f>
        <v>2049</v>
      </c>
    </row>
    <row r="8" spans="1:34" s="5" customFormat="1" ht="12.75" x14ac:dyDescent="0.2">
      <c r="A8" s="95"/>
      <c r="B8" s="30">
        <v>1</v>
      </c>
      <c r="C8" s="30">
        <f t="shared" si="0"/>
        <v>2</v>
      </c>
      <c r="D8" s="30">
        <f t="shared" si="0"/>
        <v>3</v>
      </c>
      <c r="E8" s="30">
        <f t="shared" si="0"/>
        <v>4</v>
      </c>
      <c r="F8" s="30">
        <f t="shared" si="0"/>
        <v>5</v>
      </c>
      <c r="G8" s="30">
        <f t="shared" si="0"/>
        <v>6</v>
      </c>
      <c r="H8" s="30">
        <f t="shared" si="0"/>
        <v>7</v>
      </c>
      <c r="I8" s="30">
        <f t="shared" si="0"/>
        <v>8</v>
      </c>
      <c r="J8" s="30">
        <f t="shared" si="0"/>
        <v>9</v>
      </c>
      <c r="K8" s="30">
        <f t="shared" si="0"/>
        <v>10</v>
      </c>
      <c r="L8" s="30">
        <f t="shared" si="0"/>
        <v>11</v>
      </c>
      <c r="M8" s="30">
        <f t="shared" si="0"/>
        <v>12</v>
      </c>
      <c r="N8" s="30">
        <f t="shared" si="0"/>
        <v>13</v>
      </c>
      <c r="O8" s="30">
        <f t="shared" si="0"/>
        <v>14</v>
      </c>
      <c r="P8" s="30">
        <f t="shared" si="0"/>
        <v>15</v>
      </c>
      <c r="Q8" s="30">
        <f t="shared" si="0"/>
        <v>16</v>
      </c>
      <c r="R8" s="30">
        <f t="shared" si="0"/>
        <v>17</v>
      </c>
      <c r="S8" s="30">
        <f t="shared" si="0"/>
        <v>18</v>
      </c>
      <c r="T8" s="30">
        <f t="shared" si="0"/>
        <v>19</v>
      </c>
      <c r="U8" s="30">
        <f t="shared" si="0"/>
        <v>20</v>
      </c>
      <c r="V8" s="30">
        <f t="shared" si="0"/>
        <v>21</v>
      </c>
      <c r="W8" s="30">
        <f t="shared" si="0"/>
        <v>22</v>
      </c>
      <c r="X8" s="30">
        <f t="shared" si="0"/>
        <v>23</v>
      </c>
      <c r="Y8" s="30">
        <f t="shared" si="0"/>
        <v>24</v>
      </c>
      <c r="Z8" s="30">
        <f t="shared" si="0"/>
        <v>25</v>
      </c>
      <c r="AA8" s="30">
        <f t="shared" si="0"/>
        <v>26</v>
      </c>
      <c r="AB8" s="30">
        <f t="shared" si="0"/>
        <v>27</v>
      </c>
      <c r="AC8" s="30">
        <f t="shared" si="1"/>
        <v>28</v>
      </c>
      <c r="AD8" s="30">
        <f t="shared" si="1"/>
        <v>29</v>
      </c>
      <c r="AE8" s="30">
        <f t="shared" si="1"/>
        <v>30</v>
      </c>
      <c r="AF8" s="30">
        <f>AE8+1</f>
        <v>31</v>
      </c>
      <c r="AG8" s="30">
        <f>AF8+1</f>
        <v>32</v>
      </c>
      <c r="AH8" s="30">
        <f>AG8+1</f>
        <v>33</v>
      </c>
    </row>
    <row r="9" spans="1:34" s="5" customFormat="1" ht="12.75" x14ac:dyDescent="0.2">
      <c r="A9" s="95" t="s">
        <v>368</v>
      </c>
      <c r="B9" s="726">
        <v>0.02</v>
      </c>
      <c r="C9" s="726">
        <v>2.5000000000000001E-2</v>
      </c>
      <c r="D9" s="726">
        <v>2.5000000000000001E-2</v>
      </c>
      <c r="E9" s="726">
        <v>0.02</v>
      </c>
      <c r="F9" s="726">
        <v>0.02</v>
      </c>
      <c r="G9" s="726">
        <v>0.02</v>
      </c>
      <c r="H9" s="726">
        <v>0.02</v>
      </c>
      <c r="I9" s="726">
        <v>0.02</v>
      </c>
      <c r="J9" s="726">
        <v>0.02</v>
      </c>
      <c r="K9" s="726">
        <v>0.02</v>
      </c>
      <c r="L9" s="726">
        <v>0.02</v>
      </c>
      <c r="M9" s="726">
        <v>0.02</v>
      </c>
      <c r="N9" s="726">
        <v>0.02</v>
      </c>
      <c r="O9" s="726">
        <v>0.02</v>
      </c>
      <c r="P9" s="726">
        <v>0.02</v>
      </c>
      <c r="Q9" s="726">
        <v>0.02</v>
      </c>
      <c r="R9" s="726">
        <v>0.02</v>
      </c>
      <c r="S9" s="726">
        <v>0.02</v>
      </c>
      <c r="T9" s="726">
        <v>0.02</v>
      </c>
      <c r="U9" s="726">
        <v>0.02</v>
      </c>
      <c r="V9" s="726">
        <v>0.02</v>
      </c>
      <c r="W9" s="726">
        <v>0.02</v>
      </c>
      <c r="X9" s="726">
        <v>0.02</v>
      </c>
      <c r="Y9" s="726">
        <v>0.02</v>
      </c>
      <c r="Z9" s="726">
        <v>0.02</v>
      </c>
      <c r="AA9" s="726">
        <v>0.02</v>
      </c>
      <c r="AB9" s="726">
        <v>0.02</v>
      </c>
      <c r="AC9" s="726">
        <v>0.02</v>
      </c>
      <c r="AD9" s="726">
        <v>0.02</v>
      </c>
      <c r="AE9" s="726">
        <v>0.02</v>
      </c>
      <c r="AF9" s="726">
        <f>AE9</f>
        <v>0.02</v>
      </c>
      <c r="AG9" s="726">
        <f>AF9</f>
        <v>0.02</v>
      </c>
      <c r="AH9" s="726">
        <f>AG9</f>
        <v>0.02</v>
      </c>
    </row>
    <row r="10" spans="1:34" s="5" customFormat="1" ht="12.75" x14ac:dyDescent="0.2">
      <c r="A10" s="95" t="s">
        <v>369</v>
      </c>
      <c r="B10" s="97">
        <v>1</v>
      </c>
      <c r="C10" s="97">
        <f t="shared" ref="C10:AB10" si="2">ROUND(B10*(1+C9),2)</f>
        <v>1.03</v>
      </c>
      <c r="D10" s="97">
        <f t="shared" si="2"/>
        <v>1.06</v>
      </c>
      <c r="E10" s="97">
        <f t="shared" si="2"/>
        <v>1.08</v>
      </c>
      <c r="F10" s="97">
        <f t="shared" si="2"/>
        <v>1.1000000000000001</v>
      </c>
      <c r="G10" s="97">
        <f t="shared" si="2"/>
        <v>1.1200000000000001</v>
      </c>
      <c r="H10" s="97">
        <f t="shared" si="2"/>
        <v>1.1399999999999999</v>
      </c>
      <c r="I10" s="97">
        <f t="shared" si="2"/>
        <v>1.1599999999999999</v>
      </c>
      <c r="J10" s="97">
        <f t="shared" si="2"/>
        <v>1.18</v>
      </c>
      <c r="K10" s="97">
        <f t="shared" si="2"/>
        <v>1.2</v>
      </c>
      <c r="L10" s="97">
        <f t="shared" si="2"/>
        <v>1.22</v>
      </c>
      <c r="M10" s="97">
        <f t="shared" si="2"/>
        <v>1.24</v>
      </c>
      <c r="N10" s="97">
        <f t="shared" si="2"/>
        <v>1.26</v>
      </c>
      <c r="O10" s="97">
        <f t="shared" si="2"/>
        <v>1.29</v>
      </c>
      <c r="P10" s="97">
        <f t="shared" si="2"/>
        <v>1.32</v>
      </c>
      <c r="Q10" s="97">
        <f t="shared" si="2"/>
        <v>1.35</v>
      </c>
      <c r="R10" s="97">
        <f t="shared" si="2"/>
        <v>1.38</v>
      </c>
      <c r="S10" s="97">
        <f t="shared" si="2"/>
        <v>1.41</v>
      </c>
      <c r="T10" s="97">
        <f t="shared" si="2"/>
        <v>1.44</v>
      </c>
      <c r="U10" s="97">
        <f t="shared" si="2"/>
        <v>1.47</v>
      </c>
      <c r="V10" s="97">
        <f t="shared" si="2"/>
        <v>1.5</v>
      </c>
      <c r="W10" s="97">
        <f t="shared" si="2"/>
        <v>1.53</v>
      </c>
      <c r="X10" s="97">
        <f t="shared" si="2"/>
        <v>1.56</v>
      </c>
      <c r="Y10" s="97">
        <f t="shared" si="2"/>
        <v>1.59</v>
      </c>
      <c r="Z10" s="97">
        <f t="shared" si="2"/>
        <v>1.62</v>
      </c>
      <c r="AA10" s="97">
        <f t="shared" si="2"/>
        <v>1.65</v>
      </c>
      <c r="AB10" s="97">
        <f t="shared" si="2"/>
        <v>1.68</v>
      </c>
      <c r="AC10" s="97">
        <f t="shared" ref="AC10:AH10" si="3">ROUND(AB10*(1+AC9),2)</f>
        <v>1.71</v>
      </c>
      <c r="AD10" s="97">
        <f t="shared" si="3"/>
        <v>1.74</v>
      </c>
      <c r="AE10" s="97">
        <f t="shared" si="3"/>
        <v>1.77</v>
      </c>
      <c r="AF10" s="97">
        <f t="shared" si="3"/>
        <v>1.81</v>
      </c>
      <c r="AG10" s="97">
        <f t="shared" si="3"/>
        <v>1.85</v>
      </c>
      <c r="AH10" s="97">
        <f t="shared" si="3"/>
        <v>1.89</v>
      </c>
    </row>
    <row r="11" spans="1:34" s="5" customFormat="1" ht="12.75" x14ac:dyDescent="0.2">
      <c r="A11" s="98" t="s">
        <v>370</v>
      </c>
      <c r="B11" s="726">
        <v>3.4000000000000002E-2</v>
      </c>
      <c r="C11" s="726">
        <v>2.9000000000000001E-2</v>
      </c>
      <c r="D11" s="726">
        <v>2.9000000000000001E-2</v>
      </c>
      <c r="E11" s="726">
        <v>2.1000000000000001E-2</v>
      </c>
      <c r="F11" s="726">
        <v>2.1000000000000001E-2</v>
      </c>
      <c r="G11" s="726">
        <v>2.1000000000000001E-2</v>
      </c>
      <c r="H11" s="726">
        <v>2.1000000000000001E-2</v>
      </c>
      <c r="I11" s="726">
        <v>2.1000000000000001E-2</v>
      </c>
      <c r="J11" s="726">
        <v>2.1000000000000001E-2</v>
      </c>
      <c r="K11" s="726">
        <v>2.1000000000000001E-2</v>
      </c>
      <c r="L11" s="726">
        <v>2.1000000000000001E-2</v>
      </c>
      <c r="M11" s="726">
        <v>2.1000000000000001E-2</v>
      </c>
      <c r="N11" s="726">
        <v>2.1000000000000001E-2</v>
      </c>
      <c r="O11" s="726">
        <v>2.1000000000000001E-2</v>
      </c>
      <c r="P11" s="726">
        <v>2.1000000000000001E-2</v>
      </c>
      <c r="Q11" s="726">
        <v>2.1000000000000001E-2</v>
      </c>
      <c r="R11" s="726">
        <v>2.1000000000000001E-2</v>
      </c>
      <c r="S11" s="726">
        <v>2.1000000000000001E-2</v>
      </c>
      <c r="T11" s="726">
        <v>2.1000000000000001E-2</v>
      </c>
      <c r="U11" s="726">
        <v>2.1000000000000001E-2</v>
      </c>
      <c r="V11" s="726">
        <v>2.1000000000000001E-2</v>
      </c>
      <c r="W11" s="726">
        <v>2.1000000000000001E-2</v>
      </c>
      <c r="X11" s="726">
        <v>2.1000000000000001E-2</v>
      </c>
      <c r="Y11" s="726">
        <v>2.1000000000000001E-2</v>
      </c>
      <c r="Z11" s="726">
        <v>2.1000000000000001E-2</v>
      </c>
      <c r="AA11" s="726">
        <v>2.1000000000000001E-2</v>
      </c>
      <c r="AB11" s="726">
        <v>2.1000000000000001E-2</v>
      </c>
      <c r="AC11" s="726">
        <v>2.1000000000000001E-2</v>
      </c>
      <c r="AD11" s="726">
        <v>2.1000000000000001E-2</v>
      </c>
      <c r="AE11" s="726">
        <v>2.1000000000000001E-2</v>
      </c>
      <c r="AF11" s="726">
        <f>AE11</f>
        <v>2.1000000000000001E-2</v>
      </c>
      <c r="AG11" s="726">
        <f>AF11</f>
        <v>2.1000000000000001E-2</v>
      </c>
      <c r="AH11" s="726">
        <f>AG11</f>
        <v>2.1000000000000001E-2</v>
      </c>
    </row>
    <row r="12" spans="1:34" s="5" customFormat="1" ht="12.75" x14ac:dyDescent="0.2">
      <c r="A12" s="95" t="s">
        <v>369</v>
      </c>
      <c r="B12" s="97">
        <v>1</v>
      </c>
      <c r="C12" s="97">
        <f t="shared" ref="C12:AB12" si="4">ROUND(B12*(1+C11),2)</f>
        <v>1.03</v>
      </c>
      <c r="D12" s="97">
        <f t="shared" si="4"/>
        <v>1.06</v>
      </c>
      <c r="E12" s="97">
        <f t="shared" si="4"/>
        <v>1.08</v>
      </c>
      <c r="F12" s="97">
        <f t="shared" si="4"/>
        <v>1.1000000000000001</v>
      </c>
      <c r="G12" s="97">
        <f t="shared" si="4"/>
        <v>1.1200000000000001</v>
      </c>
      <c r="H12" s="97">
        <f t="shared" si="4"/>
        <v>1.1399999999999999</v>
      </c>
      <c r="I12" s="97">
        <f t="shared" si="4"/>
        <v>1.1599999999999999</v>
      </c>
      <c r="J12" s="97">
        <f t="shared" si="4"/>
        <v>1.18</v>
      </c>
      <c r="K12" s="97">
        <f t="shared" si="4"/>
        <v>1.2</v>
      </c>
      <c r="L12" s="97">
        <f t="shared" si="4"/>
        <v>1.23</v>
      </c>
      <c r="M12" s="97">
        <f t="shared" si="4"/>
        <v>1.26</v>
      </c>
      <c r="N12" s="97">
        <f t="shared" si="4"/>
        <v>1.29</v>
      </c>
      <c r="O12" s="97">
        <f t="shared" si="4"/>
        <v>1.32</v>
      </c>
      <c r="P12" s="97">
        <f t="shared" si="4"/>
        <v>1.35</v>
      </c>
      <c r="Q12" s="97">
        <f t="shared" si="4"/>
        <v>1.38</v>
      </c>
      <c r="R12" s="97">
        <f t="shared" si="4"/>
        <v>1.41</v>
      </c>
      <c r="S12" s="97">
        <f t="shared" si="4"/>
        <v>1.44</v>
      </c>
      <c r="T12" s="97">
        <f t="shared" si="4"/>
        <v>1.47</v>
      </c>
      <c r="U12" s="97">
        <f t="shared" si="4"/>
        <v>1.5</v>
      </c>
      <c r="V12" s="97">
        <f t="shared" si="4"/>
        <v>1.53</v>
      </c>
      <c r="W12" s="97">
        <f t="shared" si="4"/>
        <v>1.56</v>
      </c>
      <c r="X12" s="97">
        <f t="shared" si="4"/>
        <v>1.59</v>
      </c>
      <c r="Y12" s="97">
        <f t="shared" si="4"/>
        <v>1.62</v>
      </c>
      <c r="Z12" s="97">
        <f t="shared" si="4"/>
        <v>1.65</v>
      </c>
      <c r="AA12" s="97">
        <f t="shared" si="4"/>
        <v>1.68</v>
      </c>
      <c r="AB12" s="97">
        <f t="shared" si="4"/>
        <v>1.72</v>
      </c>
      <c r="AC12" s="97">
        <f t="shared" ref="AC12:AH12" si="5">ROUND(AB12*(1+AC11),2)</f>
        <v>1.76</v>
      </c>
      <c r="AD12" s="97">
        <f t="shared" si="5"/>
        <v>1.8</v>
      </c>
      <c r="AE12" s="97">
        <f t="shared" si="5"/>
        <v>1.84</v>
      </c>
      <c r="AF12" s="97">
        <f t="shared" si="5"/>
        <v>1.88</v>
      </c>
      <c r="AG12" s="97">
        <f t="shared" si="5"/>
        <v>1.92</v>
      </c>
      <c r="AH12" s="97">
        <f t="shared" si="5"/>
        <v>1.96</v>
      </c>
    </row>
    <row r="13" spans="1:34" s="5" customFormat="1" ht="12.75" x14ac:dyDescent="0.2">
      <c r="A13" s="98" t="s">
        <v>371</v>
      </c>
      <c r="B13" s="726">
        <v>2.5000000000000001E-2</v>
      </c>
      <c r="C13" s="726">
        <v>2.5000000000000001E-2</v>
      </c>
      <c r="D13" s="726">
        <v>2.5000000000000001E-2</v>
      </c>
      <c r="E13" s="726">
        <v>0.02</v>
      </c>
      <c r="F13" s="726">
        <v>0.02</v>
      </c>
      <c r="G13" s="726">
        <v>0.02</v>
      </c>
      <c r="H13" s="726">
        <v>0.02</v>
      </c>
      <c r="I13" s="726">
        <v>0.02</v>
      </c>
      <c r="J13" s="726">
        <v>0.02</v>
      </c>
      <c r="K13" s="726">
        <v>0.02</v>
      </c>
      <c r="L13" s="726">
        <v>0.02</v>
      </c>
      <c r="M13" s="726">
        <v>0.02</v>
      </c>
      <c r="N13" s="726">
        <v>0.02</v>
      </c>
      <c r="O13" s="726">
        <v>0.02</v>
      </c>
      <c r="P13" s="726">
        <v>0.02</v>
      </c>
      <c r="Q13" s="726">
        <v>0.02</v>
      </c>
      <c r="R13" s="726">
        <v>0.02</v>
      </c>
      <c r="S13" s="726">
        <v>0.02</v>
      </c>
      <c r="T13" s="726">
        <v>0.02</v>
      </c>
      <c r="U13" s="726">
        <v>0.02</v>
      </c>
      <c r="V13" s="726">
        <v>0.02</v>
      </c>
      <c r="W13" s="726">
        <v>0.02</v>
      </c>
      <c r="X13" s="726">
        <v>0.02</v>
      </c>
      <c r="Y13" s="726">
        <v>0.02</v>
      </c>
      <c r="Z13" s="726">
        <v>0.02</v>
      </c>
      <c r="AA13" s="726">
        <v>0.02</v>
      </c>
      <c r="AB13" s="726">
        <v>0.02</v>
      </c>
      <c r="AC13" s="726">
        <v>0.02</v>
      </c>
      <c r="AD13" s="726">
        <v>0.02</v>
      </c>
      <c r="AE13" s="726">
        <v>0.02</v>
      </c>
      <c r="AF13" s="726">
        <f>AE13</f>
        <v>0.02</v>
      </c>
      <c r="AG13" s="726">
        <f>AF13</f>
        <v>0.02</v>
      </c>
      <c r="AH13" s="726">
        <f>AG13</f>
        <v>0.02</v>
      </c>
    </row>
    <row r="14" spans="1:34" s="5" customFormat="1" ht="12.75" x14ac:dyDescent="0.2">
      <c r="A14" s="95" t="s">
        <v>369</v>
      </c>
      <c r="B14" s="97">
        <v>1</v>
      </c>
      <c r="C14" s="97">
        <f t="shared" ref="C14:AB14" si="6">ROUND(B14*(1+C13),2)</f>
        <v>1.03</v>
      </c>
      <c r="D14" s="97">
        <f t="shared" si="6"/>
        <v>1.06</v>
      </c>
      <c r="E14" s="97">
        <f t="shared" si="6"/>
        <v>1.08</v>
      </c>
      <c r="F14" s="97">
        <f t="shared" si="6"/>
        <v>1.1000000000000001</v>
      </c>
      <c r="G14" s="97">
        <f t="shared" si="6"/>
        <v>1.1200000000000001</v>
      </c>
      <c r="H14" s="97">
        <f t="shared" si="6"/>
        <v>1.1399999999999999</v>
      </c>
      <c r="I14" s="97">
        <f t="shared" si="6"/>
        <v>1.1599999999999999</v>
      </c>
      <c r="J14" s="97">
        <f t="shared" si="6"/>
        <v>1.18</v>
      </c>
      <c r="K14" s="97">
        <f t="shared" si="6"/>
        <v>1.2</v>
      </c>
      <c r="L14" s="97">
        <f t="shared" si="6"/>
        <v>1.22</v>
      </c>
      <c r="M14" s="97">
        <f t="shared" si="6"/>
        <v>1.24</v>
      </c>
      <c r="N14" s="97">
        <f t="shared" si="6"/>
        <v>1.26</v>
      </c>
      <c r="O14" s="97">
        <f t="shared" si="6"/>
        <v>1.29</v>
      </c>
      <c r="P14" s="97">
        <f t="shared" si="6"/>
        <v>1.32</v>
      </c>
      <c r="Q14" s="97">
        <f t="shared" si="6"/>
        <v>1.35</v>
      </c>
      <c r="R14" s="97">
        <f t="shared" si="6"/>
        <v>1.38</v>
      </c>
      <c r="S14" s="97">
        <f t="shared" si="6"/>
        <v>1.41</v>
      </c>
      <c r="T14" s="97">
        <f t="shared" si="6"/>
        <v>1.44</v>
      </c>
      <c r="U14" s="97">
        <f t="shared" si="6"/>
        <v>1.47</v>
      </c>
      <c r="V14" s="97">
        <f t="shared" si="6"/>
        <v>1.5</v>
      </c>
      <c r="W14" s="97">
        <f t="shared" si="6"/>
        <v>1.53</v>
      </c>
      <c r="X14" s="97">
        <f t="shared" si="6"/>
        <v>1.56</v>
      </c>
      <c r="Y14" s="97">
        <f t="shared" si="6"/>
        <v>1.59</v>
      </c>
      <c r="Z14" s="97">
        <f t="shared" si="6"/>
        <v>1.62</v>
      </c>
      <c r="AA14" s="97">
        <f t="shared" si="6"/>
        <v>1.65</v>
      </c>
      <c r="AB14" s="97">
        <f t="shared" si="6"/>
        <v>1.68</v>
      </c>
      <c r="AC14" s="97">
        <f t="shared" ref="AC14:AH14" si="7">ROUND(AB14*(1+AC13),2)</f>
        <v>1.71</v>
      </c>
      <c r="AD14" s="97">
        <f t="shared" si="7"/>
        <v>1.74</v>
      </c>
      <c r="AE14" s="97">
        <f t="shared" si="7"/>
        <v>1.77</v>
      </c>
      <c r="AF14" s="97">
        <f t="shared" si="7"/>
        <v>1.81</v>
      </c>
      <c r="AG14" s="97">
        <f t="shared" si="7"/>
        <v>1.85</v>
      </c>
      <c r="AH14" s="97">
        <f t="shared" si="7"/>
        <v>1.89</v>
      </c>
    </row>
    <row r="15" spans="1:34" s="9" customFormat="1" ht="12.75" x14ac:dyDescent="0.2">
      <c r="A15" s="95" t="s">
        <v>378</v>
      </c>
      <c r="B15" s="726">
        <v>0.21</v>
      </c>
      <c r="C15" s="726">
        <f t="shared" ref="C15:AB15" si="8">B15</f>
        <v>0.21</v>
      </c>
      <c r="D15" s="726">
        <f t="shared" si="8"/>
        <v>0.21</v>
      </c>
      <c r="E15" s="726">
        <f t="shared" si="8"/>
        <v>0.21</v>
      </c>
      <c r="F15" s="726">
        <f t="shared" si="8"/>
        <v>0.21</v>
      </c>
      <c r="G15" s="726">
        <f t="shared" si="8"/>
        <v>0.21</v>
      </c>
      <c r="H15" s="726">
        <f t="shared" si="8"/>
        <v>0.21</v>
      </c>
      <c r="I15" s="726">
        <f t="shared" si="8"/>
        <v>0.21</v>
      </c>
      <c r="J15" s="726">
        <f t="shared" si="8"/>
        <v>0.21</v>
      </c>
      <c r="K15" s="726">
        <f t="shared" si="8"/>
        <v>0.21</v>
      </c>
      <c r="L15" s="726">
        <f t="shared" si="8"/>
        <v>0.21</v>
      </c>
      <c r="M15" s="726">
        <f t="shared" si="8"/>
        <v>0.21</v>
      </c>
      <c r="N15" s="726">
        <f t="shared" si="8"/>
        <v>0.21</v>
      </c>
      <c r="O15" s="726">
        <f t="shared" si="8"/>
        <v>0.21</v>
      </c>
      <c r="P15" s="726">
        <f t="shared" si="8"/>
        <v>0.21</v>
      </c>
      <c r="Q15" s="726">
        <f t="shared" si="8"/>
        <v>0.21</v>
      </c>
      <c r="R15" s="726">
        <f t="shared" si="8"/>
        <v>0.21</v>
      </c>
      <c r="S15" s="726">
        <f t="shared" si="8"/>
        <v>0.21</v>
      </c>
      <c r="T15" s="726">
        <f t="shared" si="8"/>
        <v>0.21</v>
      </c>
      <c r="U15" s="726">
        <f t="shared" si="8"/>
        <v>0.21</v>
      </c>
      <c r="V15" s="726">
        <f t="shared" si="8"/>
        <v>0.21</v>
      </c>
      <c r="W15" s="726">
        <f t="shared" si="8"/>
        <v>0.21</v>
      </c>
      <c r="X15" s="726">
        <f t="shared" si="8"/>
        <v>0.21</v>
      </c>
      <c r="Y15" s="726">
        <f t="shared" si="8"/>
        <v>0.21</v>
      </c>
      <c r="Z15" s="726">
        <f t="shared" si="8"/>
        <v>0.21</v>
      </c>
      <c r="AA15" s="726">
        <f t="shared" si="8"/>
        <v>0.21</v>
      </c>
      <c r="AB15" s="726">
        <f t="shared" si="8"/>
        <v>0.21</v>
      </c>
      <c r="AC15" s="726">
        <f t="shared" ref="AC15:AH15" si="9">AB15</f>
        <v>0.21</v>
      </c>
      <c r="AD15" s="726">
        <f t="shared" si="9"/>
        <v>0.21</v>
      </c>
      <c r="AE15" s="726">
        <f t="shared" si="9"/>
        <v>0.21</v>
      </c>
      <c r="AF15" s="726">
        <f t="shared" si="9"/>
        <v>0.21</v>
      </c>
      <c r="AG15" s="726">
        <f t="shared" si="9"/>
        <v>0.21</v>
      </c>
      <c r="AH15" s="726">
        <f t="shared" si="9"/>
        <v>0.21</v>
      </c>
    </row>
    <row r="16" spans="1:34" s="9" customFormat="1" ht="12.75" x14ac:dyDescent="0.2">
      <c r="A16" s="95" t="s">
        <v>379</v>
      </c>
      <c r="B16" s="726">
        <v>0.2359</v>
      </c>
      <c r="C16" s="726">
        <v>0.2409</v>
      </c>
      <c r="D16" s="726">
        <f>C16</f>
        <v>0.2409</v>
      </c>
      <c r="E16" s="726">
        <f>D16</f>
        <v>0.2409</v>
      </c>
      <c r="F16" s="726">
        <f t="shared" ref="F16:AG16" si="10">E16</f>
        <v>0.2409</v>
      </c>
      <c r="G16" s="726">
        <f t="shared" si="10"/>
        <v>0.2409</v>
      </c>
      <c r="H16" s="726">
        <f t="shared" si="10"/>
        <v>0.2409</v>
      </c>
      <c r="I16" s="726">
        <f t="shared" si="10"/>
        <v>0.2409</v>
      </c>
      <c r="J16" s="726">
        <f t="shared" si="10"/>
        <v>0.2409</v>
      </c>
      <c r="K16" s="726">
        <f t="shared" si="10"/>
        <v>0.2409</v>
      </c>
      <c r="L16" s="726">
        <f t="shared" si="10"/>
        <v>0.2409</v>
      </c>
      <c r="M16" s="726">
        <f t="shared" si="10"/>
        <v>0.2409</v>
      </c>
      <c r="N16" s="726">
        <f t="shared" si="10"/>
        <v>0.2409</v>
      </c>
      <c r="O16" s="726">
        <f t="shared" si="10"/>
        <v>0.2409</v>
      </c>
      <c r="P16" s="726">
        <f t="shared" si="10"/>
        <v>0.2409</v>
      </c>
      <c r="Q16" s="726">
        <f t="shared" si="10"/>
        <v>0.2409</v>
      </c>
      <c r="R16" s="726">
        <f t="shared" si="10"/>
        <v>0.2409</v>
      </c>
      <c r="S16" s="726">
        <f t="shared" si="10"/>
        <v>0.2409</v>
      </c>
      <c r="T16" s="726">
        <f t="shared" si="10"/>
        <v>0.2409</v>
      </c>
      <c r="U16" s="726">
        <f t="shared" si="10"/>
        <v>0.2409</v>
      </c>
      <c r="V16" s="726">
        <f t="shared" si="10"/>
        <v>0.2409</v>
      </c>
      <c r="W16" s="726">
        <f t="shared" si="10"/>
        <v>0.2409</v>
      </c>
      <c r="X16" s="726">
        <f t="shared" si="10"/>
        <v>0.2409</v>
      </c>
      <c r="Y16" s="726">
        <f t="shared" si="10"/>
        <v>0.2409</v>
      </c>
      <c r="Z16" s="726">
        <f t="shared" si="10"/>
        <v>0.2409</v>
      </c>
      <c r="AA16" s="726">
        <f t="shared" si="10"/>
        <v>0.2409</v>
      </c>
      <c r="AB16" s="726">
        <f t="shared" si="10"/>
        <v>0.2409</v>
      </c>
      <c r="AC16" s="726">
        <f t="shared" si="10"/>
        <v>0.2409</v>
      </c>
      <c r="AD16" s="726">
        <f t="shared" si="10"/>
        <v>0.2409</v>
      </c>
      <c r="AE16" s="726">
        <f t="shared" si="10"/>
        <v>0.2409</v>
      </c>
      <c r="AF16" s="726">
        <f t="shared" si="10"/>
        <v>0.2409</v>
      </c>
      <c r="AG16" s="726">
        <f t="shared" si="10"/>
        <v>0.2409</v>
      </c>
      <c r="AH16" s="726">
        <f>AG16</f>
        <v>0.2409</v>
      </c>
    </row>
    <row r="17" spans="1:34" s="9" customFormat="1" ht="12.75" x14ac:dyDescent="0.2">
      <c r="A17" s="99" t="s">
        <v>380</v>
      </c>
      <c r="B17" s="726">
        <v>0.15</v>
      </c>
      <c r="C17" s="726">
        <v>0.2</v>
      </c>
      <c r="D17" s="726">
        <f>C17</f>
        <v>0.2</v>
      </c>
      <c r="E17" s="726">
        <f t="shared" ref="E17:AG17" si="11">D17</f>
        <v>0.2</v>
      </c>
      <c r="F17" s="726">
        <f t="shared" si="11"/>
        <v>0.2</v>
      </c>
      <c r="G17" s="726">
        <f t="shared" si="11"/>
        <v>0.2</v>
      </c>
      <c r="H17" s="726">
        <f t="shared" si="11"/>
        <v>0.2</v>
      </c>
      <c r="I17" s="726">
        <f t="shared" si="11"/>
        <v>0.2</v>
      </c>
      <c r="J17" s="726">
        <f t="shared" si="11"/>
        <v>0.2</v>
      </c>
      <c r="K17" s="726">
        <f t="shared" si="11"/>
        <v>0.2</v>
      </c>
      <c r="L17" s="726">
        <f t="shared" si="11"/>
        <v>0.2</v>
      </c>
      <c r="M17" s="726">
        <f t="shared" si="11"/>
        <v>0.2</v>
      </c>
      <c r="N17" s="726">
        <f t="shared" si="11"/>
        <v>0.2</v>
      </c>
      <c r="O17" s="726">
        <f t="shared" si="11"/>
        <v>0.2</v>
      </c>
      <c r="P17" s="726">
        <f t="shared" si="11"/>
        <v>0.2</v>
      </c>
      <c r="Q17" s="726">
        <f t="shared" si="11"/>
        <v>0.2</v>
      </c>
      <c r="R17" s="726">
        <f t="shared" si="11"/>
        <v>0.2</v>
      </c>
      <c r="S17" s="726">
        <f t="shared" si="11"/>
        <v>0.2</v>
      </c>
      <c r="T17" s="726">
        <f t="shared" si="11"/>
        <v>0.2</v>
      </c>
      <c r="U17" s="726">
        <f t="shared" si="11"/>
        <v>0.2</v>
      </c>
      <c r="V17" s="726">
        <f t="shared" si="11"/>
        <v>0.2</v>
      </c>
      <c r="W17" s="726">
        <f t="shared" si="11"/>
        <v>0.2</v>
      </c>
      <c r="X17" s="726">
        <f t="shared" si="11"/>
        <v>0.2</v>
      </c>
      <c r="Y17" s="726">
        <f t="shared" si="11"/>
        <v>0.2</v>
      </c>
      <c r="Z17" s="726">
        <f t="shared" si="11"/>
        <v>0.2</v>
      </c>
      <c r="AA17" s="726">
        <f t="shared" si="11"/>
        <v>0.2</v>
      </c>
      <c r="AB17" s="726">
        <f t="shared" si="11"/>
        <v>0.2</v>
      </c>
      <c r="AC17" s="726">
        <f t="shared" si="11"/>
        <v>0.2</v>
      </c>
      <c r="AD17" s="726">
        <f t="shared" si="11"/>
        <v>0.2</v>
      </c>
      <c r="AE17" s="726">
        <f t="shared" si="11"/>
        <v>0.2</v>
      </c>
      <c r="AF17" s="726">
        <f t="shared" si="11"/>
        <v>0.2</v>
      </c>
      <c r="AG17" s="726">
        <f t="shared" si="11"/>
        <v>0.2</v>
      </c>
      <c r="AH17" s="726">
        <f>AG17</f>
        <v>0.2</v>
      </c>
    </row>
    <row r="18" spans="1:34" s="9" customFormat="1" ht="12.75" x14ac:dyDescent="0.2">
      <c r="A18" s="100" t="s">
        <v>381</v>
      </c>
      <c r="B18" s="732">
        <v>6.0999999999999999E-2</v>
      </c>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row>
    <row r="19" spans="1:34" s="9" customFormat="1" ht="12.75" x14ac:dyDescent="0.2">
      <c r="A19" s="100" t="str">
        <f>A23</f>
        <v>Nominālā ekonomiskā diskonta likme</v>
      </c>
      <c r="B19" s="732">
        <v>7.0999999999999994E-2</v>
      </c>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row>
    <row r="20" spans="1:34" s="9" customFormat="1" ht="12.75" x14ac:dyDescent="0.2">
      <c r="A20" s="45" t="s">
        <v>382</v>
      </c>
      <c r="B20" s="727">
        <v>0.21</v>
      </c>
      <c r="C20" s="727">
        <f t="shared" ref="C20:AD20" si="12">B20</f>
        <v>0.21</v>
      </c>
      <c r="D20" s="727">
        <f t="shared" si="12"/>
        <v>0.21</v>
      </c>
      <c r="E20" s="727">
        <f t="shared" si="12"/>
        <v>0.21</v>
      </c>
      <c r="F20" s="727">
        <f t="shared" si="12"/>
        <v>0.21</v>
      </c>
      <c r="G20" s="727">
        <f t="shared" si="12"/>
        <v>0.21</v>
      </c>
      <c r="H20" s="727">
        <f t="shared" si="12"/>
        <v>0.21</v>
      </c>
      <c r="I20" s="727">
        <f t="shared" si="12"/>
        <v>0.21</v>
      </c>
      <c r="J20" s="727">
        <f t="shared" si="12"/>
        <v>0.21</v>
      </c>
      <c r="K20" s="727">
        <f t="shared" si="12"/>
        <v>0.21</v>
      </c>
      <c r="L20" s="727">
        <f t="shared" si="12"/>
        <v>0.21</v>
      </c>
      <c r="M20" s="727">
        <f t="shared" si="12"/>
        <v>0.21</v>
      </c>
      <c r="N20" s="727">
        <f t="shared" si="12"/>
        <v>0.21</v>
      </c>
      <c r="O20" s="727">
        <f t="shared" si="12"/>
        <v>0.21</v>
      </c>
      <c r="P20" s="727">
        <f t="shared" si="12"/>
        <v>0.21</v>
      </c>
      <c r="Q20" s="727">
        <f t="shared" si="12"/>
        <v>0.21</v>
      </c>
      <c r="R20" s="727">
        <f t="shared" si="12"/>
        <v>0.21</v>
      </c>
      <c r="S20" s="727">
        <f t="shared" si="12"/>
        <v>0.21</v>
      </c>
      <c r="T20" s="727">
        <f t="shared" si="12"/>
        <v>0.21</v>
      </c>
      <c r="U20" s="727">
        <f t="shared" si="12"/>
        <v>0.21</v>
      </c>
      <c r="V20" s="727">
        <f t="shared" si="12"/>
        <v>0.21</v>
      </c>
      <c r="W20" s="727">
        <f t="shared" si="12"/>
        <v>0.21</v>
      </c>
      <c r="X20" s="727">
        <f t="shared" si="12"/>
        <v>0.21</v>
      </c>
      <c r="Y20" s="727">
        <f t="shared" si="12"/>
        <v>0.21</v>
      </c>
      <c r="Z20" s="727">
        <f t="shared" si="12"/>
        <v>0.21</v>
      </c>
      <c r="AA20" s="727">
        <f t="shared" si="12"/>
        <v>0.21</v>
      </c>
      <c r="AB20" s="727">
        <f t="shared" si="12"/>
        <v>0.21</v>
      </c>
      <c r="AC20" s="727">
        <f t="shared" si="12"/>
        <v>0.21</v>
      </c>
      <c r="AD20" s="727">
        <f t="shared" si="12"/>
        <v>0.21</v>
      </c>
      <c r="AE20" s="727">
        <f>AD20</f>
        <v>0.21</v>
      </c>
      <c r="AF20" s="727">
        <f>AE20</f>
        <v>0.21</v>
      </c>
      <c r="AG20" s="727">
        <f>AF20</f>
        <v>0.21</v>
      </c>
      <c r="AH20" s="727">
        <f>AG20</f>
        <v>0.21</v>
      </c>
    </row>
    <row r="21" spans="1:34" s="28" customFormat="1" ht="12.75" x14ac:dyDescent="0.2">
      <c r="B21" s="406"/>
      <c r="C21" s="406"/>
      <c r="D21" s="406"/>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H21" s="407"/>
    </row>
    <row r="22" spans="1:34" s="9" customFormat="1" ht="14.25" x14ac:dyDescent="0.2">
      <c r="A22" s="408" t="s">
        <v>383</v>
      </c>
      <c r="B22" s="409"/>
      <c r="C22" s="28"/>
      <c r="D22" s="5"/>
    </row>
    <row r="23" spans="1:34" s="9" customFormat="1" ht="12.75" x14ac:dyDescent="0.2">
      <c r="A23" s="102" t="s">
        <v>384</v>
      </c>
      <c r="B23" s="726">
        <v>7.0999999999999994E-2</v>
      </c>
    </row>
    <row r="24" spans="1:34" s="9" customFormat="1" ht="12.75" x14ac:dyDescent="0.2">
      <c r="A24" s="100" t="s">
        <v>109</v>
      </c>
      <c r="B24" s="726">
        <v>0.05</v>
      </c>
    </row>
    <row r="25" spans="1:34" ht="14.25" customHeight="1" x14ac:dyDescent="0.2"/>
    <row r="26" spans="1:34" ht="14.25" x14ac:dyDescent="0.2">
      <c r="A26" s="65" t="s">
        <v>385</v>
      </c>
      <c r="B26" s="29"/>
    </row>
    <row r="27" spans="1:34" ht="12.75" x14ac:dyDescent="0.2">
      <c r="A27" s="410" t="s">
        <v>386</v>
      </c>
      <c r="B27" s="29"/>
      <c r="C27" s="411"/>
    </row>
    <row r="28" spans="1:34" ht="12.75" x14ac:dyDescent="0.2">
      <c r="A28" s="40" t="s">
        <v>387</v>
      </c>
      <c r="B28" s="271">
        <v>50</v>
      </c>
    </row>
    <row r="29" spans="1:34" ht="12.75" x14ac:dyDescent="0.2">
      <c r="A29" s="40" t="s">
        <v>388</v>
      </c>
      <c r="B29" s="271">
        <v>50</v>
      </c>
    </row>
    <row r="30" spans="1:34" ht="12.75" x14ac:dyDescent="0.2">
      <c r="A30" s="40" t="s">
        <v>237</v>
      </c>
      <c r="B30" s="271">
        <v>50</v>
      </c>
    </row>
    <row r="31" spans="1:34" ht="12.75" x14ac:dyDescent="0.2">
      <c r="A31" s="40" t="s">
        <v>388</v>
      </c>
      <c r="B31" s="271">
        <v>10</v>
      </c>
    </row>
    <row r="32" spans="1:34" ht="12.75" x14ac:dyDescent="0.2">
      <c r="A32" s="103" t="s">
        <v>239</v>
      </c>
      <c r="B32" s="271">
        <v>10</v>
      </c>
    </row>
    <row r="33" spans="1:2" ht="12.75" x14ac:dyDescent="0.2">
      <c r="A33" s="40" t="s">
        <v>389</v>
      </c>
      <c r="B33" s="272">
        <v>30</v>
      </c>
    </row>
    <row r="34" spans="1:2" ht="12.75" x14ac:dyDescent="0.2">
      <c r="A34" s="103" t="s">
        <v>390</v>
      </c>
      <c r="B34" s="273">
        <f>'Datu ievade'!B17+B33-1</f>
        <v>2048</v>
      </c>
    </row>
    <row r="35" spans="1:2" ht="12.75" x14ac:dyDescent="0.2">
      <c r="A35" s="40" t="s">
        <v>391</v>
      </c>
      <c r="B35" s="273">
        <f>B28-B33</f>
        <v>20</v>
      </c>
    </row>
    <row r="37" spans="1:2" ht="12.75" x14ac:dyDescent="0.2">
      <c r="A37" s="38" t="s">
        <v>392</v>
      </c>
      <c r="B37" s="412">
        <v>0.85</v>
      </c>
    </row>
    <row r="38" spans="1:2" ht="12.75" x14ac:dyDescent="0.2">
      <c r="A38" s="40" t="s">
        <v>393</v>
      </c>
      <c r="B38" s="412">
        <f>'Datu ievade'!B225</f>
        <v>0</v>
      </c>
    </row>
  </sheetData>
  <phoneticPr fontId="2" type="noConversion"/>
  <pageMargins left="0.7" right="0.7" top="0.75" bottom="0.75" header="0.3" footer="0.3"/>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29"/>
  <sheetViews>
    <sheetView showGridLines="0" topLeftCell="A163" zoomScale="85" workbookViewId="0">
      <pane xSplit="1" topLeftCell="B1" activePane="topRight" state="frozen"/>
      <selection pane="topRight" activeCell="B160" sqref="B160:D160"/>
    </sheetView>
  </sheetViews>
  <sheetFormatPr defaultColWidth="6.28515625" defaultRowHeight="12.75" outlineLevelRow="1" x14ac:dyDescent="0.2"/>
  <cols>
    <col min="1" max="1" width="50" style="28" customWidth="1"/>
    <col min="2" max="4" width="12.85546875" style="28" customWidth="1"/>
    <col min="5" max="34" width="12.28515625" style="28" customWidth="1"/>
    <col min="35" max="35" width="10.140625" style="28" customWidth="1"/>
    <col min="36" max="36" width="6.28515625" style="28"/>
    <col min="37" max="37" width="8.140625" style="28" customWidth="1"/>
    <col min="38" max="38" width="6.28515625" style="28"/>
    <col min="39" max="39" width="9.7109375" style="28" customWidth="1"/>
    <col min="40" max="40" width="6.28515625" style="28"/>
    <col min="41" max="41" width="8.5703125" style="28" customWidth="1"/>
    <col min="42" max="42" width="6.28515625" style="28"/>
    <col min="43" max="43" width="18.5703125" style="28" customWidth="1"/>
    <col min="44" max="45" width="6.28515625" style="28"/>
    <col min="46" max="47" width="12.140625" style="28" customWidth="1"/>
    <col min="48" max="16384" width="6.28515625" style="28"/>
  </cols>
  <sheetData>
    <row r="1" spans="1:43" s="286" customFormat="1" ht="24.75" customHeight="1" x14ac:dyDescent="0.25">
      <c r="A1" s="284" t="str">
        <f>'Datu ievade'!B12</f>
        <v>SIA "Dobeles Ūdens"</v>
      </c>
      <c r="B1" s="285"/>
      <c r="C1" s="275"/>
      <c r="D1" s="275"/>
      <c r="E1" s="275"/>
      <c r="F1" s="275"/>
      <c r="G1" s="275"/>
      <c r="H1" s="275"/>
      <c r="I1" s="275"/>
      <c r="J1" s="275"/>
      <c r="K1" s="275"/>
      <c r="L1" s="275"/>
      <c r="M1" s="275"/>
      <c r="N1" s="275"/>
      <c r="O1" s="275"/>
      <c r="P1" s="275"/>
      <c r="Q1" s="275"/>
      <c r="R1" s="275"/>
      <c r="S1" s="275"/>
      <c r="T1" s="275"/>
      <c r="U1" s="275"/>
      <c r="V1" s="275"/>
      <c r="W1" s="275"/>
      <c r="X1" s="275"/>
      <c r="Y1" s="275"/>
      <c r="Z1" s="275"/>
    </row>
    <row r="2" spans="1:43" s="287" customFormat="1" ht="18" x14ac:dyDescent="0.2">
      <c r="A2" s="489" t="str">
        <f>'Datu ievade'!B13</f>
        <v>"Kanalizācijas tīklu paplašināšana Dobeles aglomerācijā" II kārta</v>
      </c>
      <c r="B2" s="490"/>
      <c r="C2" s="276"/>
      <c r="D2" s="276"/>
      <c r="E2" s="276"/>
      <c r="F2" s="276"/>
      <c r="G2" s="276"/>
      <c r="H2" s="276"/>
      <c r="I2" s="276"/>
      <c r="J2" s="276"/>
      <c r="K2" s="276"/>
      <c r="L2" s="276"/>
      <c r="M2" s="276"/>
      <c r="N2" s="276"/>
      <c r="O2" s="276"/>
      <c r="P2" s="276"/>
      <c r="Q2" s="276"/>
      <c r="R2" s="276"/>
      <c r="S2" s="276"/>
      <c r="T2" s="276"/>
      <c r="U2" s="276"/>
      <c r="V2" s="276"/>
      <c r="W2" s="276"/>
      <c r="X2" s="276"/>
      <c r="Y2" s="276"/>
      <c r="Z2" s="276"/>
    </row>
    <row r="3" spans="1:43" ht="18" x14ac:dyDescent="0.2">
      <c r="A3" s="429" t="s">
        <v>435</v>
      </c>
      <c r="B3" s="118"/>
      <c r="C3" s="118"/>
      <c r="D3" s="118"/>
      <c r="AK3" s="110"/>
    </row>
    <row r="4" spans="1:43" ht="19.5" x14ac:dyDescent="0.2">
      <c r="A4" s="430"/>
      <c r="B4" s="118"/>
      <c r="C4" s="118"/>
      <c r="D4" s="118"/>
      <c r="AK4" s="110"/>
    </row>
    <row r="5" spans="1:43" ht="15" x14ac:dyDescent="0.2">
      <c r="A5" s="428" t="s">
        <v>436</v>
      </c>
      <c r="M5" s="110"/>
      <c r="AK5" s="110"/>
    </row>
    <row r="6" spans="1:43" ht="15" x14ac:dyDescent="0.2">
      <c r="A6" s="565"/>
      <c r="B6" s="96">
        <f>'Datu ievade'!B15</f>
        <v>2017</v>
      </c>
      <c r="C6" s="96">
        <f t="shared" ref="C6:AH6" si="0">B6+1</f>
        <v>2018</v>
      </c>
      <c r="D6" s="96">
        <f t="shared" si="0"/>
        <v>2019</v>
      </c>
      <c r="E6" s="96">
        <f t="shared" si="0"/>
        <v>2020</v>
      </c>
      <c r="F6" s="96">
        <f t="shared" si="0"/>
        <v>2021</v>
      </c>
      <c r="G6" s="96">
        <f t="shared" si="0"/>
        <v>2022</v>
      </c>
      <c r="H6" s="96">
        <f t="shared" si="0"/>
        <v>2023</v>
      </c>
      <c r="I6" s="96">
        <f t="shared" si="0"/>
        <v>2024</v>
      </c>
      <c r="J6" s="96">
        <f t="shared" si="0"/>
        <v>2025</v>
      </c>
      <c r="K6" s="96">
        <f t="shared" si="0"/>
        <v>2026</v>
      </c>
      <c r="L6" s="96">
        <f t="shared" si="0"/>
        <v>2027</v>
      </c>
      <c r="M6" s="96">
        <f t="shared" si="0"/>
        <v>2028</v>
      </c>
      <c r="N6" s="96">
        <f t="shared" si="0"/>
        <v>2029</v>
      </c>
      <c r="O6" s="96">
        <f t="shared" si="0"/>
        <v>2030</v>
      </c>
      <c r="P6" s="96">
        <f t="shared" si="0"/>
        <v>2031</v>
      </c>
      <c r="Q6" s="96">
        <f t="shared" si="0"/>
        <v>2032</v>
      </c>
      <c r="R6" s="96">
        <f t="shared" si="0"/>
        <v>2033</v>
      </c>
      <c r="S6" s="96">
        <f t="shared" si="0"/>
        <v>2034</v>
      </c>
      <c r="T6" s="96">
        <f t="shared" si="0"/>
        <v>2035</v>
      </c>
      <c r="U6" s="96">
        <f t="shared" si="0"/>
        <v>2036</v>
      </c>
      <c r="V6" s="96">
        <f t="shared" si="0"/>
        <v>2037</v>
      </c>
      <c r="W6" s="96">
        <f t="shared" si="0"/>
        <v>2038</v>
      </c>
      <c r="X6" s="96">
        <f t="shared" si="0"/>
        <v>2039</v>
      </c>
      <c r="Y6" s="96">
        <f t="shared" si="0"/>
        <v>2040</v>
      </c>
      <c r="Z6" s="96">
        <f t="shared" si="0"/>
        <v>2041</v>
      </c>
      <c r="AA6" s="96">
        <f t="shared" si="0"/>
        <v>2042</v>
      </c>
      <c r="AB6" s="96">
        <f t="shared" si="0"/>
        <v>2043</v>
      </c>
      <c r="AC6" s="96">
        <f t="shared" si="0"/>
        <v>2044</v>
      </c>
      <c r="AD6" s="96">
        <f t="shared" si="0"/>
        <v>2045</v>
      </c>
      <c r="AE6" s="96">
        <f t="shared" si="0"/>
        <v>2046</v>
      </c>
      <c r="AF6" s="96">
        <f t="shared" si="0"/>
        <v>2047</v>
      </c>
      <c r="AG6" s="96">
        <f t="shared" si="0"/>
        <v>2048</v>
      </c>
      <c r="AH6" s="96">
        <f t="shared" si="0"/>
        <v>2049</v>
      </c>
      <c r="AK6" s="110"/>
    </row>
    <row r="7" spans="1:43" x14ac:dyDescent="0.2">
      <c r="A7" s="621" t="s">
        <v>437</v>
      </c>
      <c r="B7" s="622"/>
      <c r="C7" s="622"/>
      <c r="D7" s="622"/>
      <c r="E7" s="622"/>
      <c r="F7" s="622"/>
      <c r="G7" s="622"/>
      <c r="H7" s="622"/>
      <c r="I7" s="622"/>
      <c r="J7" s="622"/>
      <c r="K7" s="622"/>
      <c r="L7" s="622"/>
      <c r="M7" s="622"/>
      <c r="N7" s="622"/>
      <c r="O7" s="622"/>
      <c r="P7" s="622"/>
      <c r="Q7" s="622"/>
      <c r="R7" s="622"/>
      <c r="S7" s="622"/>
      <c r="T7" s="622"/>
      <c r="U7" s="622"/>
      <c r="V7" s="622"/>
      <c r="W7" s="622"/>
      <c r="X7" s="622"/>
      <c r="Y7" s="622"/>
      <c r="Z7" s="622"/>
      <c r="AA7" s="622"/>
      <c r="AB7" s="622"/>
      <c r="AC7" s="622"/>
      <c r="AD7" s="622"/>
      <c r="AE7" s="622"/>
      <c r="AF7" s="622"/>
      <c r="AG7" s="622"/>
      <c r="AH7" s="622"/>
      <c r="AK7" s="110"/>
    </row>
    <row r="8" spans="1:43" s="289" customFormat="1" x14ac:dyDescent="0.2">
      <c r="A8" s="623" t="s">
        <v>438</v>
      </c>
      <c r="B8" s="624"/>
      <c r="C8" s="624"/>
      <c r="D8" s="624"/>
      <c r="E8" s="624"/>
      <c r="F8" s="624"/>
      <c r="G8" s="624"/>
      <c r="H8" s="624"/>
      <c r="I8" s="624"/>
      <c r="J8" s="624"/>
      <c r="K8" s="624"/>
      <c r="L8" s="624"/>
      <c r="M8" s="624"/>
      <c r="N8" s="624"/>
      <c r="O8" s="624"/>
      <c r="P8" s="624"/>
      <c r="Q8" s="624"/>
      <c r="R8" s="624"/>
      <c r="S8" s="624"/>
      <c r="T8" s="624"/>
      <c r="U8" s="624"/>
      <c r="V8" s="624"/>
      <c r="W8" s="624"/>
      <c r="X8" s="624"/>
      <c r="Y8" s="624"/>
      <c r="Z8" s="624"/>
      <c r="AA8" s="624"/>
      <c r="AB8" s="624"/>
      <c r="AC8" s="624"/>
      <c r="AD8" s="624"/>
      <c r="AE8" s="624"/>
      <c r="AF8" s="624"/>
      <c r="AG8" s="624"/>
      <c r="AH8" s="624"/>
      <c r="AK8" s="110"/>
    </row>
    <row r="9" spans="1:43" x14ac:dyDescent="0.2">
      <c r="A9" s="30" t="s">
        <v>237</v>
      </c>
      <c r="B9" s="524">
        <f>'Datu ievade'!B22-'Datu ievade'!B33</f>
        <v>2310641</v>
      </c>
      <c r="C9" s="524">
        <f t="shared" ref="C9:AH9" si="1">IF(B9&lt;B20,0,B9-B20)</f>
        <v>2254988</v>
      </c>
      <c r="D9" s="524">
        <f t="shared" si="1"/>
        <v>2199335</v>
      </c>
      <c r="E9" s="524">
        <f t="shared" si="1"/>
        <v>2143682</v>
      </c>
      <c r="F9" s="524">
        <f t="shared" si="1"/>
        <v>2088029</v>
      </c>
      <c r="G9" s="524">
        <f t="shared" si="1"/>
        <v>2032376</v>
      </c>
      <c r="H9" s="524">
        <f t="shared" si="1"/>
        <v>1976723</v>
      </c>
      <c r="I9" s="524">
        <f t="shared" si="1"/>
        <v>1921070</v>
      </c>
      <c r="J9" s="524">
        <f t="shared" si="1"/>
        <v>1865417</v>
      </c>
      <c r="K9" s="524">
        <f t="shared" si="1"/>
        <v>1809764</v>
      </c>
      <c r="L9" s="524">
        <f t="shared" si="1"/>
        <v>1754111</v>
      </c>
      <c r="M9" s="524">
        <f t="shared" si="1"/>
        <v>1698458</v>
      </c>
      <c r="N9" s="524">
        <f t="shared" si="1"/>
        <v>1642805</v>
      </c>
      <c r="O9" s="524">
        <f t="shared" si="1"/>
        <v>1587152</v>
      </c>
      <c r="P9" s="524">
        <f t="shared" si="1"/>
        <v>1531499</v>
      </c>
      <c r="Q9" s="524">
        <f t="shared" si="1"/>
        <v>1475846</v>
      </c>
      <c r="R9" s="524">
        <f t="shared" si="1"/>
        <v>1420193</v>
      </c>
      <c r="S9" s="524">
        <f t="shared" si="1"/>
        <v>1364540</v>
      </c>
      <c r="T9" s="524">
        <f t="shared" si="1"/>
        <v>1308887</v>
      </c>
      <c r="U9" s="524">
        <f t="shared" si="1"/>
        <v>1253234</v>
      </c>
      <c r="V9" s="524">
        <f t="shared" si="1"/>
        <v>1197581</v>
      </c>
      <c r="W9" s="524">
        <f t="shared" si="1"/>
        <v>1141928</v>
      </c>
      <c r="X9" s="524">
        <f t="shared" si="1"/>
        <v>1086275</v>
      </c>
      <c r="Y9" s="524">
        <f t="shared" si="1"/>
        <v>1030622</v>
      </c>
      <c r="Z9" s="524">
        <f t="shared" si="1"/>
        <v>974969</v>
      </c>
      <c r="AA9" s="524">
        <f t="shared" si="1"/>
        <v>919316</v>
      </c>
      <c r="AB9" s="524">
        <f t="shared" si="1"/>
        <v>863663</v>
      </c>
      <c r="AC9" s="524">
        <f t="shared" si="1"/>
        <v>808010</v>
      </c>
      <c r="AD9" s="524">
        <f t="shared" si="1"/>
        <v>752357</v>
      </c>
      <c r="AE9" s="524">
        <f t="shared" si="1"/>
        <v>696704</v>
      </c>
      <c r="AF9" s="524">
        <f t="shared" si="1"/>
        <v>641051</v>
      </c>
      <c r="AG9" s="524">
        <f t="shared" si="1"/>
        <v>585398</v>
      </c>
      <c r="AH9" s="524">
        <f t="shared" si="1"/>
        <v>529745</v>
      </c>
      <c r="AK9" s="110"/>
      <c r="AM9" s="110"/>
      <c r="AO9" s="110"/>
      <c r="AQ9" s="110"/>
    </row>
    <row r="10" spans="1:43" x14ac:dyDescent="0.2">
      <c r="A10" s="30" t="s">
        <v>238</v>
      </c>
      <c r="B10" s="524">
        <f>'Datu ievade'!B23-'Datu ievade'!B34</f>
        <v>212967</v>
      </c>
      <c r="C10" s="524">
        <f t="shared" ref="C10:AH10" si="2">IF(B10&lt;B21,0,B10-B21)</f>
        <v>198546</v>
      </c>
      <c r="D10" s="524">
        <f t="shared" si="2"/>
        <v>184125</v>
      </c>
      <c r="E10" s="524">
        <f t="shared" si="2"/>
        <v>169704</v>
      </c>
      <c r="F10" s="524">
        <f t="shared" si="2"/>
        <v>155283</v>
      </c>
      <c r="G10" s="524">
        <f t="shared" si="2"/>
        <v>140862</v>
      </c>
      <c r="H10" s="524">
        <f t="shared" si="2"/>
        <v>126441</v>
      </c>
      <c r="I10" s="524">
        <f t="shared" si="2"/>
        <v>112020</v>
      </c>
      <c r="J10" s="524">
        <f t="shared" si="2"/>
        <v>97599</v>
      </c>
      <c r="K10" s="524">
        <f t="shared" si="2"/>
        <v>83178</v>
      </c>
      <c r="L10" s="524">
        <f t="shared" si="2"/>
        <v>68757</v>
      </c>
      <c r="M10" s="524">
        <f t="shared" si="2"/>
        <v>54336</v>
      </c>
      <c r="N10" s="524">
        <f t="shared" si="2"/>
        <v>39915</v>
      </c>
      <c r="O10" s="524">
        <f t="shared" si="2"/>
        <v>25494</v>
      </c>
      <c r="P10" s="524">
        <f t="shared" si="2"/>
        <v>11073</v>
      </c>
      <c r="Q10" s="524">
        <f t="shared" si="2"/>
        <v>0</v>
      </c>
      <c r="R10" s="524">
        <f t="shared" si="2"/>
        <v>0</v>
      </c>
      <c r="S10" s="524">
        <f t="shared" si="2"/>
        <v>0</v>
      </c>
      <c r="T10" s="524">
        <f t="shared" si="2"/>
        <v>0</v>
      </c>
      <c r="U10" s="524">
        <f t="shared" si="2"/>
        <v>0</v>
      </c>
      <c r="V10" s="524">
        <f t="shared" si="2"/>
        <v>0</v>
      </c>
      <c r="W10" s="524">
        <f t="shared" si="2"/>
        <v>0</v>
      </c>
      <c r="X10" s="524">
        <f t="shared" si="2"/>
        <v>0</v>
      </c>
      <c r="Y10" s="524">
        <f t="shared" si="2"/>
        <v>0</v>
      </c>
      <c r="Z10" s="524">
        <f t="shared" si="2"/>
        <v>0</v>
      </c>
      <c r="AA10" s="524">
        <f t="shared" si="2"/>
        <v>0</v>
      </c>
      <c r="AB10" s="524">
        <f t="shared" si="2"/>
        <v>0</v>
      </c>
      <c r="AC10" s="524">
        <f t="shared" si="2"/>
        <v>0</v>
      </c>
      <c r="AD10" s="524">
        <f t="shared" si="2"/>
        <v>0</v>
      </c>
      <c r="AE10" s="524">
        <f t="shared" si="2"/>
        <v>0</v>
      </c>
      <c r="AF10" s="524">
        <f t="shared" si="2"/>
        <v>0</v>
      </c>
      <c r="AG10" s="524">
        <f t="shared" si="2"/>
        <v>0</v>
      </c>
      <c r="AH10" s="524">
        <f t="shared" si="2"/>
        <v>0</v>
      </c>
      <c r="AK10" s="110"/>
      <c r="AM10" s="110"/>
      <c r="AO10" s="110"/>
      <c r="AQ10" s="110"/>
    </row>
    <row r="11" spans="1:43" x14ac:dyDescent="0.2">
      <c r="A11" s="30" t="s">
        <v>239</v>
      </c>
      <c r="B11" s="524">
        <f>'Datu ievade'!B24-'Datu ievade'!B35</f>
        <v>132736</v>
      </c>
      <c r="C11" s="524">
        <f t="shared" ref="C11:AH11" si="3">IF(B11&lt;B22,0,B11-B22)</f>
        <v>121236</v>
      </c>
      <c r="D11" s="524">
        <f t="shared" si="3"/>
        <v>109736</v>
      </c>
      <c r="E11" s="524">
        <f t="shared" si="3"/>
        <v>98236</v>
      </c>
      <c r="F11" s="524">
        <f t="shared" si="3"/>
        <v>86736</v>
      </c>
      <c r="G11" s="524">
        <f t="shared" si="3"/>
        <v>75236</v>
      </c>
      <c r="H11" s="524">
        <f t="shared" si="3"/>
        <v>63736</v>
      </c>
      <c r="I11" s="524">
        <f t="shared" si="3"/>
        <v>52236</v>
      </c>
      <c r="J11" s="524">
        <f t="shared" si="3"/>
        <v>40736</v>
      </c>
      <c r="K11" s="524">
        <f t="shared" si="3"/>
        <v>29236</v>
      </c>
      <c r="L11" s="524">
        <f t="shared" si="3"/>
        <v>17736</v>
      </c>
      <c r="M11" s="524">
        <f t="shared" si="3"/>
        <v>6236</v>
      </c>
      <c r="N11" s="524">
        <f t="shared" si="3"/>
        <v>0</v>
      </c>
      <c r="O11" s="524">
        <f t="shared" si="3"/>
        <v>0</v>
      </c>
      <c r="P11" s="524">
        <f t="shared" si="3"/>
        <v>0</v>
      </c>
      <c r="Q11" s="524">
        <f t="shared" si="3"/>
        <v>0</v>
      </c>
      <c r="R11" s="524">
        <f t="shared" si="3"/>
        <v>0</v>
      </c>
      <c r="S11" s="524">
        <f t="shared" si="3"/>
        <v>0</v>
      </c>
      <c r="T11" s="524">
        <f t="shared" si="3"/>
        <v>0</v>
      </c>
      <c r="U11" s="524">
        <f t="shared" si="3"/>
        <v>0</v>
      </c>
      <c r="V11" s="524">
        <f t="shared" si="3"/>
        <v>0</v>
      </c>
      <c r="W11" s="524">
        <f t="shared" si="3"/>
        <v>0</v>
      </c>
      <c r="X11" s="524">
        <f t="shared" si="3"/>
        <v>0</v>
      </c>
      <c r="Y11" s="524">
        <f t="shared" si="3"/>
        <v>0</v>
      </c>
      <c r="Z11" s="524">
        <f t="shared" si="3"/>
        <v>0</v>
      </c>
      <c r="AA11" s="524">
        <f t="shared" si="3"/>
        <v>0</v>
      </c>
      <c r="AB11" s="524">
        <f t="shared" si="3"/>
        <v>0</v>
      </c>
      <c r="AC11" s="524">
        <f t="shared" si="3"/>
        <v>0</v>
      </c>
      <c r="AD11" s="524">
        <f t="shared" si="3"/>
        <v>0</v>
      </c>
      <c r="AE11" s="524">
        <f t="shared" si="3"/>
        <v>0</v>
      </c>
      <c r="AF11" s="524">
        <f t="shared" si="3"/>
        <v>0</v>
      </c>
      <c r="AG11" s="524">
        <f t="shared" si="3"/>
        <v>0</v>
      </c>
      <c r="AH11" s="524">
        <f t="shared" si="3"/>
        <v>0</v>
      </c>
      <c r="AK11" s="110"/>
      <c r="AM11" s="110"/>
      <c r="AO11" s="110"/>
      <c r="AQ11" s="110"/>
    </row>
    <row r="12" spans="1:43" x14ac:dyDescent="0.2">
      <c r="A12" s="30" t="s">
        <v>439</v>
      </c>
      <c r="B12" s="524">
        <f>'Datu ievade'!B25-'Datu ievade'!B36</f>
        <v>1885</v>
      </c>
      <c r="C12" s="524">
        <f t="shared" ref="C12:AH12" si="4">IF(B12&lt;B23,0,B12-B23)</f>
        <v>1742</v>
      </c>
      <c r="D12" s="524">
        <f t="shared" si="4"/>
        <v>1599</v>
      </c>
      <c r="E12" s="524">
        <f t="shared" si="4"/>
        <v>1456</v>
      </c>
      <c r="F12" s="524">
        <f t="shared" si="4"/>
        <v>1313</v>
      </c>
      <c r="G12" s="524">
        <f t="shared" si="4"/>
        <v>1170</v>
      </c>
      <c r="H12" s="524">
        <f t="shared" si="4"/>
        <v>1027</v>
      </c>
      <c r="I12" s="524">
        <f t="shared" si="4"/>
        <v>884</v>
      </c>
      <c r="J12" s="524">
        <f t="shared" si="4"/>
        <v>741</v>
      </c>
      <c r="K12" s="524">
        <f t="shared" si="4"/>
        <v>598</v>
      </c>
      <c r="L12" s="524">
        <f t="shared" si="4"/>
        <v>455</v>
      </c>
      <c r="M12" s="524">
        <f t="shared" si="4"/>
        <v>312</v>
      </c>
      <c r="N12" s="524">
        <f t="shared" si="4"/>
        <v>169</v>
      </c>
      <c r="O12" s="524">
        <f t="shared" si="4"/>
        <v>26</v>
      </c>
      <c r="P12" s="524">
        <f t="shared" si="4"/>
        <v>0</v>
      </c>
      <c r="Q12" s="524">
        <f t="shared" si="4"/>
        <v>0</v>
      </c>
      <c r="R12" s="524">
        <f t="shared" si="4"/>
        <v>0</v>
      </c>
      <c r="S12" s="524">
        <f t="shared" si="4"/>
        <v>0</v>
      </c>
      <c r="T12" s="524">
        <f t="shared" si="4"/>
        <v>0</v>
      </c>
      <c r="U12" s="524">
        <f t="shared" si="4"/>
        <v>0</v>
      </c>
      <c r="V12" s="524">
        <f t="shared" si="4"/>
        <v>0</v>
      </c>
      <c r="W12" s="524">
        <f t="shared" si="4"/>
        <v>0</v>
      </c>
      <c r="X12" s="524">
        <f t="shared" si="4"/>
        <v>0</v>
      </c>
      <c r="Y12" s="524">
        <f t="shared" si="4"/>
        <v>0</v>
      </c>
      <c r="Z12" s="524">
        <f t="shared" si="4"/>
        <v>0</v>
      </c>
      <c r="AA12" s="524">
        <f t="shared" si="4"/>
        <v>0</v>
      </c>
      <c r="AB12" s="524">
        <f t="shared" si="4"/>
        <v>0</v>
      </c>
      <c r="AC12" s="524">
        <f t="shared" si="4"/>
        <v>0</v>
      </c>
      <c r="AD12" s="524">
        <f t="shared" si="4"/>
        <v>0</v>
      </c>
      <c r="AE12" s="524">
        <f t="shared" si="4"/>
        <v>0</v>
      </c>
      <c r="AF12" s="524">
        <f t="shared" si="4"/>
        <v>0</v>
      </c>
      <c r="AG12" s="524">
        <f t="shared" si="4"/>
        <v>0</v>
      </c>
      <c r="AH12" s="524">
        <f t="shared" si="4"/>
        <v>0</v>
      </c>
      <c r="AK12" s="110"/>
      <c r="AM12" s="110"/>
      <c r="AO12" s="110"/>
      <c r="AQ12" s="110"/>
    </row>
    <row r="13" spans="1:43" s="289" customFormat="1" x14ac:dyDescent="0.2">
      <c r="A13" s="623" t="s">
        <v>440</v>
      </c>
      <c r="B13" s="624"/>
      <c r="C13" s="624"/>
      <c r="D13" s="624"/>
      <c r="E13" s="624"/>
      <c r="F13" s="624"/>
      <c r="G13" s="624"/>
      <c r="H13" s="624"/>
      <c r="I13" s="624"/>
      <c r="J13" s="624"/>
      <c r="K13" s="624"/>
      <c r="L13" s="624"/>
      <c r="M13" s="624"/>
      <c r="N13" s="624"/>
      <c r="O13" s="624"/>
      <c r="P13" s="624"/>
      <c r="Q13" s="624"/>
      <c r="R13" s="624"/>
      <c r="S13" s="624"/>
      <c r="T13" s="624"/>
      <c r="U13" s="624"/>
      <c r="V13" s="624"/>
      <c r="W13" s="624"/>
      <c r="X13" s="624"/>
      <c r="Y13" s="624"/>
      <c r="Z13" s="624"/>
      <c r="AA13" s="624"/>
      <c r="AB13" s="624"/>
      <c r="AC13" s="624"/>
      <c r="AD13" s="624"/>
      <c r="AE13" s="624"/>
      <c r="AF13" s="624"/>
      <c r="AG13" s="624"/>
      <c r="AH13" s="624"/>
      <c r="AK13" s="110"/>
      <c r="AM13" s="110"/>
      <c r="AN13" s="28"/>
      <c r="AO13" s="110"/>
      <c r="AP13" s="28"/>
      <c r="AQ13" s="110"/>
    </row>
    <row r="14" spans="1:43" x14ac:dyDescent="0.2">
      <c r="A14" s="30" t="s">
        <v>237</v>
      </c>
      <c r="B14" s="524">
        <f>'Datu ievade'!B27-'Datu ievade'!B38</f>
        <v>2594552</v>
      </c>
      <c r="C14" s="524">
        <f t="shared" ref="C14:AH14" si="5">IF(B14&lt;B25,0,B14-B25)</f>
        <v>2534252</v>
      </c>
      <c r="D14" s="524">
        <f t="shared" si="5"/>
        <v>2473952</v>
      </c>
      <c r="E14" s="524">
        <f t="shared" si="5"/>
        <v>2413652</v>
      </c>
      <c r="F14" s="524">
        <f t="shared" si="5"/>
        <v>2353352</v>
      </c>
      <c r="G14" s="524">
        <f t="shared" si="5"/>
        <v>2293052</v>
      </c>
      <c r="H14" s="524">
        <f t="shared" si="5"/>
        <v>2232752</v>
      </c>
      <c r="I14" s="524">
        <f t="shared" si="5"/>
        <v>2172452</v>
      </c>
      <c r="J14" s="524">
        <f t="shared" si="5"/>
        <v>2112152</v>
      </c>
      <c r="K14" s="524">
        <f t="shared" si="5"/>
        <v>2051852</v>
      </c>
      <c r="L14" s="524">
        <f t="shared" si="5"/>
        <v>1991552</v>
      </c>
      <c r="M14" s="524">
        <f t="shared" si="5"/>
        <v>1931252</v>
      </c>
      <c r="N14" s="524">
        <f t="shared" si="5"/>
        <v>1870952</v>
      </c>
      <c r="O14" s="524">
        <f t="shared" si="5"/>
        <v>1810652</v>
      </c>
      <c r="P14" s="524">
        <f t="shared" si="5"/>
        <v>1750352</v>
      </c>
      <c r="Q14" s="524">
        <f t="shared" si="5"/>
        <v>1690052</v>
      </c>
      <c r="R14" s="524">
        <f t="shared" si="5"/>
        <v>1629752</v>
      </c>
      <c r="S14" s="524">
        <f t="shared" si="5"/>
        <v>1569452</v>
      </c>
      <c r="T14" s="524">
        <f t="shared" si="5"/>
        <v>1509152</v>
      </c>
      <c r="U14" s="524">
        <f t="shared" si="5"/>
        <v>1448852</v>
      </c>
      <c r="V14" s="524">
        <f t="shared" si="5"/>
        <v>1388552</v>
      </c>
      <c r="W14" s="524">
        <f t="shared" si="5"/>
        <v>1328252</v>
      </c>
      <c r="X14" s="524">
        <f t="shared" si="5"/>
        <v>1267952</v>
      </c>
      <c r="Y14" s="524">
        <f t="shared" si="5"/>
        <v>1207652</v>
      </c>
      <c r="Z14" s="524">
        <f t="shared" si="5"/>
        <v>1147352</v>
      </c>
      <c r="AA14" s="524">
        <f t="shared" si="5"/>
        <v>1087052</v>
      </c>
      <c r="AB14" s="524">
        <f t="shared" si="5"/>
        <v>1026752</v>
      </c>
      <c r="AC14" s="524">
        <f t="shared" si="5"/>
        <v>966452</v>
      </c>
      <c r="AD14" s="524">
        <f t="shared" si="5"/>
        <v>906152</v>
      </c>
      <c r="AE14" s="524">
        <f t="shared" si="5"/>
        <v>845852</v>
      </c>
      <c r="AF14" s="524">
        <f t="shared" si="5"/>
        <v>785552</v>
      </c>
      <c r="AG14" s="524">
        <f t="shared" si="5"/>
        <v>725252</v>
      </c>
      <c r="AH14" s="524">
        <f t="shared" si="5"/>
        <v>664952</v>
      </c>
      <c r="AK14" s="110"/>
      <c r="AM14" s="110"/>
      <c r="AO14" s="110"/>
      <c r="AQ14" s="110"/>
    </row>
    <row r="15" spans="1:43" x14ac:dyDescent="0.2">
      <c r="A15" s="30" t="s">
        <v>238</v>
      </c>
      <c r="B15" s="524">
        <f>'Datu ievade'!B28-'Datu ievade'!B39</f>
        <v>1484387</v>
      </c>
      <c r="C15" s="524">
        <f t="shared" ref="C15:AH15" si="6">IF(B15&lt;B26,0,B15-B26)</f>
        <v>1386650</v>
      </c>
      <c r="D15" s="524">
        <f t="shared" si="6"/>
        <v>1288913</v>
      </c>
      <c r="E15" s="524">
        <f t="shared" si="6"/>
        <v>1191176</v>
      </c>
      <c r="F15" s="524">
        <f t="shared" si="6"/>
        <v>1093439</v>
      </c>
      <c r="G15" s="524">
        <f t="shared" si="6"/>
        <v>995702</v>
      </c>
      <c r="H15" s="524">
        <f t="shared" si="6"/>
        <v>897965</v>
      </c>
      <c r="I15" s="524">
        <f t="shared" si="6"/>
        <v>800228</v>
      </c>
      <c r="J15" s="524">
        <f t="shared" si="6"/>
        <v>702491</v>
      </c>
      <c r="K15" s="524">
        <f t="shared" si="6"/>
        <v>604754</v>
      </c>
      <c r="L15" s="524">
        <f t="shared" si="6"/>
        <v>507017</v>
      </c>
      <c r="M15" s="524">
        <f t="shared" si="6"/>
        <v>409280</v>
      </c>
      <c r="N15" s="524">
        <f t="shared" si="6"/>
        <v>311543</v>
      </c>
      <c r="O15" s="524">
        <f t="shared" si="6"/>
        <v>213806</v>
      </c>
      <c r="P15" s="524">
        <f t="shared" si="6"/>
        <v>116069</v>
      </c>
      <c r="Q15" s="524">
        <f t="shared" si="6"/>
        <v>18332</v>
      </c>
      <c r="R15" s="524">
        <f t="shared" si="6"/>
        <v>0</v>
      </c>
      <c r="S15" s="524">
        <f t="shared" si="6"/>
        <v>0</v>
      </c>
      <c r="T15" s="524">
        <f t="shared" si="6"/>
        <v>0</v>
      </c>
      <c r="U15" s="524">
        <f t="shared" si="6"/>
        <v>0</v>
      </c>
      <c r="V15" s="524">
        <f t="shared" si="6"/>
        <v>0</v>
      </c>
      <c r="W15" s="524">
        <f t="shared" si="6"/>
        <v>0</v>
      </c>
      <c r="X15" s="524">
        <f t="shared" si="6"/>
        <v>0</v>
      </c>
      <c r="Y15" s="524">
        <f t="shared" si="6"/>
        <v>0</v>
      </c>
      <c r="Z15" s="524">
        <f t="shared" si="6"/>
        <v>0</v>
      </c>
      <c r="AA15" s="524">
        <f t="shared" si="6"/>
        <v>0</v>
      </c>
      <c r="AB15" s="524">
        <f t="shared" si="6"/>
        <v>0</v>
      </c>
      <c r="AC15" s="524">
        <f t="shared" si="6"/>
        <v>0</v>
      </c>
      <c r="AD15" s="524">
        <f t="shared" si="6"/>
        <v>0</v>
      </c>
      <c r="AE15" s="524">
        <f t="shared" si="6"/>
        <v>0</v>
      </c>
      <c r="AF15" s="524">
        <f t="shared" si="6"/>
        <v>0</v>
      </c>
      <c r="AG15" s="524">
        <f t="shared" si="6"/>
        <v>0</v>
      </c>
      <c r="AH15" s="524">
        <f t="shared" si="6"/>
        <v>0</v>
      </c>
      <c r="AK15" s="110"/>
      <c r="AM15" s="110"/>
      <c r="AO15" s="110"/>
      <c r="AQ15" s="110"/>
    </row>
    <row r="16" spans="1:43" x14ac:dyDescent="0.2">
      <c r="A16" s="30" t="s">
        <v>239</v>
      </c>
      <c r="B16" s="524">
        <f>'Datu ievade'!B29-'Datu ievade'!B40</f>
        <v>148413</v>
      </c>
      <c r="C16" s="524">
        <f t="shared" ref="C16:AH16" si="7">IF(B16&lt;B27,0,B16-B27)</f>
        <v>135972</v>
      </c>
      <c r="D16" s="524">
        <f t="shared" si="7"/>
        <v>123531</v>
      </c>
      <c r="E16" s="524">
        <f t="shared" si="7"/>
        <v>111090</v>
      </c>
      <c r="F16" s="524">
        <f t="shared" si="7"/>
        <v>98649</v>
      </c>
      <c r="G16" s="524">
        <f t="shared" si="7"/>
        <v>86208</v>
      </c>
      <c r="H16" s="524">
        <f t="shared" si="7"/>
        <v>73767</v>
      </c>
      <c r="I16" s="524">
        <f t="shared" si="7"/>
        <v>61326</v>
      </c>
      <c r="J16" s="524">
        <f t="shared" si="7"/>
        <v>48885</v>
      </c>
      <c r="K16" s="524">
        <f t="shared" si="7"/>
        <v>36444</v>
      </c>
      <c r="L16" s="524">
        <f t="shared" si="7"/>
        <v>24003</v>
      </c>
      <c r="M16" s="524">
        <f t="shared" si="7"/>
        <v>11562</v>
      </c>
      <c r="N16" s="524">
        <f t="shared" si="7"/>
        <v>0</v>
      </c>
      <c r="O16" s="524">
        <f t="shared" si="7"/>
        <v>0</v>
      </c>
      <c r="P16" s="524">
        <f t="shared" si="7"/>
        <v>0</v>
      </c>
      <c r="Q16" s="524">
        <f t="shared" si="7"/>
        <v>0</v>
      </c>
      <c r="R16" s="524">
        <f t="shared" si="7"/>
        <v>0</v>
      </c>
      <c r="S16" s="524">
        <f t="shared" si="7"/>
        <v>0</v>
      </c>
      <c r="T16" s="524">
        <f t="shared" si="7"/>
        <v>0</v>
      </c>
      <c r="U16" s="524">
        <f t="shared" si="7"/>
        <v>0</v>
      </c>
      <c r="V16" s="524">
        <f t="shared" si="7"/>
        <v>0</v>
      </c>
      <c r="W16" s="524">
        <f t="shared" si="7"/>
        <v>0</v>
      </c>
      <c r="X16" s="524">
        <f t="shared" si="7"/>
        <v>0</v>
      </c>
      <c r="Y16" s="524">
        <f t="shared" si="7"/>
        <v>0</v>
      </c>
      <c r="Z16" s="524">
        <f t="shared" si="7"/>
        <v>0</v>
      </c>
      <c r="AA16" s="524">
        <f t="shared" si="7"/>
        <v>0</v>
      </c>
      <c r="AB16" s="524">
        <f t="shared" si="7"/>
        <v>0</v>
      </c>
      <c r="AC16" s="524">
        <f t="shared" si="7"/>
        <v>0</v>
      </c>
      <c r="AD16" s="524">
        <f t="shared" si="7"/>
        <v>0</v>
      </c>
      <c r="AE16" s="524">
        <f t="shared" si="7"/>
        <v>0</v>
      </c>
      <c r="AF16" s="524">
        <f t="shared" si="7"/>
        <v>0</v>
      </c>
      <c r="AG16" s="524">
        <f t="shared" si="7"/>
        <v>0</v>
      </c>
      <c r="AH16" s="524">
        <f t="shared" si="7"/>
        <v>0</v>
      </c>
      <c r="AK16" s="110"/>
      <c r="AM16" s="110"/>
      <c r="AO16" s="110"/>
      <c r="AQ16" s="110"/>
    </row>
    <row r="17" spans="1:43" x14ac:dyDescent="0.2">
      <c r="A17" s="30" t="s">
        <v>439</v>
      </c>
      <c r="B17" s="524">
        <f>'Datu ievade'!B30-'Datu ievade'!B41</f>
        <v>623</v>
      </c>
      <c r="C17" s="524">
        <f t="shared" ref="C17:AH17" si="8">IF(B17&lt;B28,0,B17-B28)</f>
        <v>240</v>
      </c>
      <c r="D17" s="524">
        <f t="shared" si="8"/>
        <v>0</v>
      </c>
      <c r="E17" s="524">
        <f t="shared" si="8"/>
        <v>0</v>
      </c>
      <c r="F17" s="524">
        <f t="shared" si="8"/>
        <v>0</v>
      </c>
      <c r="G17" s="524">
        <f t="shared" si="8"/>
        <v>0</v>
      </c>
      <c r="H17" s="524">
        <f t="shared" si="8"/>
        <v>0</v>
      </c>
      <c r="I17" s="524">
        <f t="shared" si="8"/>
        <v>0</v>
      </c>
      <c r="J17" s="524">
        <f t="shared" si="8"/>
        <v>0</v>
      </c>
      <c r="K17" s="524">
        <f t="shared" si="8"/>
        <v>0</v>
      </c>
      <c r="L17" s="524">
        <f t="shared" si="8"/>
        <v>0</v>
      </c>
      <c r="M17" s="524">
        <f t="shared" si="8"/>
        <v>0</v>
      </c>
      <c r="N17" s="524">
        <f t="shared" si="8"/>
        <v>0</v>
      </c>
      <c r="O17" s="524">
        <f t="shared" si="8"/>
        <v>0</v>
      </c>
      <c r="P17" s="524">
        <f t="shared" si="8"/>
        <v>0</v>
      </c>
      <c r="Q17" s="524">
        <f t="shared" si="8"/>
        <v>0</v>
      </c>
      <c r="R17" s="524">
        <f t="shared" si="8"/>
        <v>0</v>
      </c>
      <c r="S17" s="524">
        <f t="shared" si="8"/>
        <v>0</v>
      </c>
      <c r="T17" s="524">
        <f t="shared" si="8"/>
        <v>0</v>
      </c>
      <c r="U17" s="524">
        <f t="shared" si="8"/>
        <v>0</v>
      </c>
      <c r="V17" s="524">
        <f t="shared" si="8"/>
        <v>0</v>
      </c>
      <c r="W17" s="524">
        <f t="shared" si="8"/>
        <v>0</v>
      </c>
      <c r="X17" s="524">
        <f t="shared" si="8"/>
        <v>0</v>
      </c>
      <c r="Y17" s="524">
        <f t="shared" si="8"/>
        <v>0</v>
      </c>
      <c r="Z17" s="524">
        <f t="shared" si="8"/>
        <v>0</v>
      </c>
      <c r="AA17" s="524">
        <f t="shared" si="8"/>
        <v>0</v>
      </c>
      <c r="AB17" s="524">
        <f t="shared" si="8"/>
        <v>0</v>
      </c>
      <c r="AC17" s="524">
        <f t="shared" si="8"/>
        <v>0</v>
      </c>
      <c r="AD17" s="524">
        <f t="shared" si="8"/>
        <v>0</v>
      </c>
      <c r="AE17" s="524">
        <f t="shared" si="8"/>
        <v>0</v>
      </c>
      <c r="AF17" s="524">
        <f t="shared" si="8"/>
        <v>0</v>
      </c>
      <c r="AG17" s="524">
        <f t="shared" si="8"/>
        <v>0</v>
      </c>
      <c r="AH17" s="524">
        <f t="shared" si="8"/>
        <v>0</v>
      </c>
      <c r="AK17" s="110"/>
      <c r="AM17" s="110"/>
      <c r="AO17" s="110"/>
      <c r="AQ17" s="110"/>
    </row>
    <row r="18" spans="1:43" x14ac:dyDescent="0.2">
      <c r="A18" s="523" t="s">
        <v>242</v>
      </c>
      <c r="B18" s="525">
        <f t="shared" ref="B18:AH18" si="9">SUM(B9:B17)</f>
        <v>6886204</v>
      </c>
      <c r="C18" s="525">
        <f t="shared" si="9"/>
        <v>6633626</v>
      </c>
      <c r="D18" s="525">
        <f t="shared" si="9"/>
        <v>6381191</v>
      </c>
      <c r="E18" s="525">
        <f t="shared" si="9"/>
        <v>6128996</v>
      </c>
      <c r="F18" s="525">
        <f t="shared" si="9"/>
        <v>5876801</v>
      </c>
      <c r="G18" s="525">
        <f t="shared" si="9"/>
        <v>5624606</v>
      </c>
      <c r="H18" s="525">
        <f t="shared" si="9"/>
        <v>5372411</v>
      </c>
      <c r="I18" s="525">
        <f t="shared" si="9"/>
        <v>5120216</v>
      </c>
      <c r="J18" s="525">
        <f t="shared" si="9"/>
        <v>4868021</v>
      </c>
      <c r="K18" s="525">
        <f t="shared" si="9"/>
        <v>4615826</v>
      </c>
      <c r="L18" s="525">
        <f t="shared" si="9"/>
        <v>4363631</v>
      </c>
      <c r="M18" s="525">
        <f t="shared" si="9"/>
        <v>4111436</v>
      </c>
      <c r="N18" s="525">
        <f t="shared" si="9"/>
        <v>3865384</v>
      </c>
      <c r="O18" s="525">
        <f t="shared" si="9"/>
        <v>3637130</v>
      </c>
      <c r="P18" s="525">
        <f t="shared" si="9"/>
        <v>3408993</v>
      </c>
      <c r="Q18" s="525">
        <f t="shared" si="9"/>
        <v>3184230</v>
      </c>
      <c r="R18" s="525">
        <f t="shared" si="9"/>
        <v>3049945</v>
      </c>
      <c r="S18" s="525">
        <f t="shared" si="9"/>
        <v>2933992</v>
      </c>
      <c r="T18" s="525">
        <f t="shared" si="9"/>
        <v>2818039</v>
      </c>
      <c r="U18" s="525">
        <f t="shared" si="9"/>
        <v>2702086</v>
      </c>
      <c r="V18" s="525">
        <f t="shared" si="9"/>
        <v>2586133</v>
      </c>
      <c r="W18" s="525">
        <f t="shared" si="9"/>
        <v>2470180</v>
      </c>
      <c r="X18" s="525">
        <f t="shared" si="9"/>
        <v>2354227</v>
      </c>
      <c r="Y18" s="525">
        <f t="shared" si="9"/>
        <v>2238274</v>
      </c>
      <c r="Z18" s="525">
        <f t="shared" si="9"/>
        <v>2122321</v>
      </c>
      <c r="AA18" s="525">
        <f t="shared" si="9"/>
        <v>2006368</v>
      </c>
      <c r="AB18" s="525">
        <f t="shared" si="9"/>
        <v>1890415</v>
      </c>
      <c r="AC18" s="525">
        <f t="shared" si="9"/>
        <v>1774462</v>
      </c>
      <c r="AD18" s="525">
        <f t="shared" si="9"/>
        <v>1658509</v>
      </c>
      <c r="AE18" s="525">
        <f t="shared" si="9"/>
        <v>1542556</v>
      </c>
      <c r="AF18" s="525">
        <f t="shared" si="9"/>
        <v>1426603</v>
      </c>
      <c r="AG18" s="525">
        <f t="shared" si="9"/>
        <v>1310650</v>
      </c>
      <c r="AH18" s="525">
        <f t="shared" si="9"/>
        <v>1194697</v>
      </c>
      <c r="AK18" s="110"/>
      <c r="AM18" s="110"/>
      <c r="AO18" s="110"/>
      <c r="AQ18" s="110"/>
    </row>
    <row r="19" spans="1:43" s="289" customFormat="1" x14ac:dyDescent="0.2">
      <c r="A19" s="623" t="s">
        <v>243</v>
      </c>
      <c r="B19" s="624"/>
      <c r="C19" s="624"/>
      <c r="D19" s="624"/>
      <c r="E19" s="624"/>
      <c r="F19" s="624"/>
      <c r="G19" s="624"/>
      <c r="H19" s="624"/>
      <c r="I19" s="624"/>
      <c r="J19" s="624"/>
      <c r="K19" s="624"/>
      <c r="L19" s="624"/>
      <c r="M19" s="624"/>
      <c r="N19" s="624"/>
      <c r="O19" s="624"/>
      <c r="P19" s="624"/>
      <c r="Q19" s="624"/>
      <c r="R19" s="624"/>
      <c r="S19" s="624"/>
      <c r="T19" s="624"/>
      <c r="U19" s="624"/>
      <c r="V19" s="624"/>
      <c r="W19" s="624"/>
      <c r="X19" s="624"/>
      <c r="Y19" s="624"/>
      <c r="Z19" s="624"/>
      <c r="AA19" s="624"/>
      <c r="AB19" s="624"/>
      <c r="AC19" s="624"/>
      <c r="AD19" s="624"/>
      <c r="AE19" s="624"/>
      <c r="AF19" s="624"/>
      <c r="AG19" s="624"/>
      <c r="AH19" s="624"/>
      <c r="AK19" s="110"/>
      <c r="AM19" s="110"/>
      <c r="AN19" s="28"/>
      <c r="AO19" s="110"/>
      <c r="AP19" s="28"/>
      <c r="AQ19" s="110"/>
    </row>
    <row r="20" spans="1:43" x14ac:dyDescent="0.2">
      <c r="A20" s="30" t="s">
        <v>237</v>
      </c>
      <c r="B20" s="524">
        <f>'Datu ievade'!B33</f>
        <v>55653</v>
      </c>
      <c r="C20" s="524">
        <f t="shared" ref="C20:AH20" si="10">IF(B20&gt;B9,B9,B20)</f>
        <v>55653</v>
      </c>
      <c r="D20" s="524">
        <f t="shared" si="10"/>
        <v>55653</v>
      </c>
      <c r="E20" s="524">
        <f t="shared" si="10"/>
        <v>55653</v>
      </c>
      <c r="F20" s="524">
        <f t="shared" si="10"/>
        <v>55653</v>
      </c>
      <c r="G20" s="524">
        <f t="shared" si="10"/>
        <v>55653</v>
      </c>
      <c r="H20" s="524">
        <f t="shared" si="10"/>
        <v>55653</v>
      </c>
      <c r="I20" s="524">
        <f t="shared" si="10"/>
        <v>55653</v>
      </c>
      <c r="J20" s="524">
        <f t="shared" si="10"/>
        <v>55653</v>
      </c>
      <c r="K20" s="524">
        <f t="shared" si="10"/>
        <v>55653</v>
      </c>
      <c r="L20" s="524">
        <f t="shared" si="10"/>
        <v>55653</v>
      </c>
      <c r="M20" s="524">
        <f t="shared" si="10"/>
        <v>55653</v>
      </c>
      <c r="N20" s="524">
        <f t="shared" si="10"/>
        <v>55653</v>
      </c>
      <c r="O20" s="524">
        <f t="shared" si="10"/>
        <v>55653</v>
      </c>
      <c r="P20" s="524">
        <f t="shared" si="10"/>
        <v>55653</v>
      </c>
      <c r="Q20" s="524">
        <f t="shared" si="10"/>
        <v>55653</v>
      </c>
      <c r="R20" s="524">
        <f t="shared" si="10"/>
        <v>55653</v>
      </c>
      <c r="S20" s="524">
        <f t="shared" si="10"/>
        <v>55653</v>
      </c>
      <c r="T20" s="524">
        <f t="shared" si="10"/>
        <v>55653</v>
      </c>
      <c r="U20" s="524">
        <f t="shared" si="10"/>
        <v>55653</v>
      </c>
      <c r="V20" s="524">
        <f t="shared" si="10"/>
        <v>55653</v>
      </c>
      <c r="W20" s="524">
        <f t="shared" si="10"/>
        <v>55653</v>
      </c>
      <c r="X20" s="524">
        <f t="shared" si="10"/>
        <v>55653</v>
      </c>
      <c r="Y20" s="524">
        <f t="shared" si="10"/>
        <v>55653</v>
      </c>
      <c r="Z20" s="524">
        <f t="shared" si="10"/>
        <v>55653</v>
      </c>
      <c r="AA20" s="524">
        <f t="shared" si="10"/>
        <v>55653</v>
      </c>
      <c r="AB20" s="524">
        <f t="shared" si="10"/>
        <v>55653</v>
      </c>
      <c r="AC20" s="524">
        <f t="shared" si="10"/>
        <v>55653</v>
      </c>
      <c r="AD20" s="524">
        <f t="shared" si="10"/>
        <v>55653</v>
      </c>
      <c r="AE20" s="524">
        <f t="shared" si="10"/>
        <v>55653</v>
      </c>
      <c r="AF20" s="524">
        <f t="shared" si="10"/>
        <v>55653</v>
      </c>
      <c r="AG20" s="524">
        <f t="shared" si="10"/>
        <v>55653</v>
      </c>
      <c r="AH20" s="524">
        <f t="shared" si="10"/>
        <v>55653</v>
      </c>
      <c r="AK20" s="110"/>
      <c r="AM20" s="110"/>
      <c r="AO20" s="110"/>
      <c r="AQ20" s="110"/>
    </row>
    <row r="21" spans="1:43" x14ac:dyDescent="0.2">
      <c r="A21" s="30" t="s">
        <v>238</v>
      </c>
      <c r="B21" s="524">
        <f>'Datu ievade'!B34</f>
        <v>14421</v>
      </c>
      <c r="C21" s="524">
        <f t="shared" ref="C21:AH21" si="11">IF(B21&gt;B10,B10,B21)</f>
        <v>14421</v>
      </c>
      <c r="D21" s="524">
        <f t="shared" si="11"/>
        <v>14421</v>
      </c>
      <c r="E21" s="524">
        <f t="shared" si="11"/>
        <v>14421</v>
      </c>
      <c r="F21" s="524">
        <f t="shared" si="11"/>
        <v>14421</v>
      </c>
      <c r="G21" s="524">
        <f t="shared" si="11"/>
        <v>14421</v>
      </c>
      <c r="H21" s="524">
        <f t="shared" si="11"/>
        <v>14421</v>
      </c>
      <c r="I21" s="524">
        <f t="shared" si="11"/>
        <v>14421</v>
      </c>
      <c r="J21" s="524">
        <f t="shared" si="11"/>
        <v>14421</v>
      </c>
      <c r="K21" s="524">
        <f t="shared" si="11"/>
        <v>14421</v>
      </c>
      <c r="L21" s="524">
        <f t="shared" si="11"/>
        <v>14421</v>
      </c>
      <c r="M21" s="524">
        <f t="shared" si="11"/>
        <v>14421</v>
      </c>
      <c r="N21" s="524">
        <f t="shared" si="11"/>
        <v>14421</v>
      </c>
      <c r="O21" s="524">
        <f t="shared" si="11"/>
        <v>14421</v>
      </c>
      <c r="P21" s="524">
        <f t="shared" si="11"/>
        <v>14421</v>
      </c>
      <c r="Q21" s="524">
        <f t="shared" si="11"/>
        <v>11073</v>
      </c>
      <c r="R21" s="524">
        <f t="shared" si="11"/>
        <v>0</v>
      </c>
      <c r="S21" s="524">
        <f t="shared" si="11"/>
        <v>0</v>
      </c>
      <c r="T21" s="524">
        <f t="shared" si="11"/>
        <v>0</v>
      </c>
      <c r="U21" s="524">
        <f t="shared" si="11"/>
        <v>0</v>
      </c>
      <c r="V21" s="524">
        <f t="shared" si="11"/>
        <v>0</v>
      </c>
      <c r="W21" s="524">
        <f t="shared" si="11"/>
        <v>0</v>
      </c>
      <c r="X21" s="524">
        <f t="shared" si="11"/>
        <v>0</v>
      </c>
      <c r="Y21" s="524">
        <f t="shared" si="11"/>
        <v>0</v>
      </c>
      <c r="Z21" s="524">
        <f t="shared" si="11"/>
        <v>0</v>
      </c>
      <c r="AA21" s="524">
        <f t="shared" si="11"/>
        <v>0</v>
      </c>
      <c r="AB21" s="524">
        <f t="shared" si="11"/>
        <v>0</v>
      </c>
      <c r="AC21" s="524">
        <f t="shared" si="11"/>
        <v>0</v>
      </c>
      <c r="AD21" s="524">
        <f t="shared" si="11"/>
        <v>0</v>
      </c>
      <c r="AE21" s="524">
        <f t="shared" si="11"/>
        <v>0</v>
      </c>
      <c r="AF21" s="524">
        <f t="shared" si="11"/>
        <v>0</v>
      </c>
      <c r="AG21" s="524">
        <f t="shared" si="11"/>
        <v>0</v>
      </c>
      <c r="AH21" s="524">
        <f t="shared" si="11"/>
        <v>0</v>
      </c>
      <c r="AK21" s="110"/>
      <c r="AM21" s="110"/>
      <c r="AO21" s="110"/>
      <c r="AQ21" s="110"/>
    </row>
    <row r="22" spans="1:43" x14ac:dyDescent="0.2">
      <c r="A22" s="30" t="s">
        <v>239</v>
      </c>
      <c r="B22" s="524">
        <f>'Datu ievade'!B35</f>
        <v>11500</v>
      </c>
      <c r="C22" s="524">
        <f t="shared" ref="C22:AH22" si="12">IF(B22&gt;B11,B11,B22)</f>
        <v>11500</v>
      </c>
      <c r="D22" s="524">
        <f t="shared" si="12"/>
        <v>11500</v>
      </c>
      <c r="E22" s="524">
        <f t="shared" si="12"/>
        <v>11500</v>
      </c>
      <c r="F22" s="524">
        <f t="shared" si="12"/>
        <v>11500</v>
      </c>
      <c r="G22" s="524">
        <f t="shared" si="12"/>
        <v>11500</v>
      </c>
      <c r="H22" s="524">
        <f t="shared" si="12"/>
        <v>11500</v>
      </c>
      <c r="I22" s="524">
        <f t="shared" si="12"/>
        <v>11500</v>
      </c>
      <c r="J22" s="524">
        <f t="shared" si="12"/>
        <v>11500</v>
      </c>
      <c r="K22" s="524">
        <f t="shared" si="12"/>
        <v>11500</v>
      </c>
      <c r="L22" s="524">
        <f t="shared" si="12"/>
        <v>11500</v>
      </c>
      <c r="M22" s="524">
        <f t="shared" si="12"/>
        <v>11500</v>
      </c>
      <c r="N22" s="524">
        <f t="shared" si="12"/>
        <v>6236</v>
      </c>
      <c r="O22" s="524">
        <f t="shared" si="12"/>
        <v>0</v>
      </c>
      <c r="P22" s="524">
        <f t="shared" si="12"/>
        <v>0</v>
      </c>
      <c r="Q22" s="524">
        <f t="shared" si="12"/>
        <v>0</v>
      </c>
      <c r="R22" s="524">
        <f t="shared" si="12"/>
        <v>0</v>
      </c>
      <c r="S22" s="524">
        <f t="shared" si="12"/>
        <v>0</v>
      </c>
      <c r="T22" s="524">
        <f t="shared" si="12"/>
        <v>0</v>
      </c>
      <c r="U22" s="524">
        <f t="shared" si="12"/>
        <v>0</v>
      </c>
      <c r="V22" s="524">
        <f t="shared" si="12"/>
        <v>0</v>
      </c>
      <c r="W22" s="524">
        <f t="shared" si="12"/>
        <v>0</v>
      </c>
      <c r="X22" s="524">
        <f t="shared" si="12"/>
        <v>0</v>
      </c>
      <c r="Y22" s="524">
        <f t="shared" si="12"/>
        <v>0</v>
      </c>
      <c r="Z22" s="524">
        <f t="shared" si="12"/>
        <v>0</v>
      </c>
      <c r="AA22" s="524">
        <f t="shared" si="12"/>
        <v>0</v>
      </c>
      <c r="AB22" s="524">
        <f t="shared" si="12"/>
        <v>0</v>
      </c>
      <c r="AC22" s="524">
        <f t="shared" si="12"/>
        <v>0</v>
      </c>
      <c r="AD22" s="524">
        <f t="shared" si="12"/>
        <v>0</v>
      </c>
      <c r="AE22" s="524">
        <f t="shared" si="12"/>
        <v>0</v>
      </c>
      <c r="AF22" s="524">
        <f t="shared" si="12"/>
        <v>0</v>
      </c>
      <c r="AG22" s="524">
        <f t="shared" si="12"/>
        <v>0</v>
      </c>
      <c r="AH22" s="524">
        <f t="shared" si="12"/>
        <v>0</v>
      </c>
      <c r="AK22" s="110"/>
      <c r="AM22" s="110"/>
      <c r="AO22" s="110"/>
      <c r="AQ22" s="110"/>
    </row>
    <row r="23" spans="1:43" x14ac:dyDescent="0.2">
      <c r="A23" s="30" t="s">
        <v>439</v>
      </c>
      <c r="B23" s="524">
        <f>'Datu ievade'!B36</f>
        <v>143</v>
      </c>
      <c r="C23" s="524">
        <f t="shared" ref="C23:AH23" si="13">IF(B23&gt;B12,B12,B23)</f>
        <v>143</v>
      </c>
      <c r="D23" s="524">
        <f t="shared" si="13"/>
        <v>143</v>
      </c>
      <c r="E23" s="524">
        <f t="shared" si="13"/>
        <v>143</v>
      </c>
      <c r="F23" s="524">
        <f t="shared" si="13"/>
        <v>143</v>
      </c>
      <c r="G23" s="524">
        <f t="shared" si="13"/>
        <v>143</v>
      </c>
      <c r="H23" s="524">
        <f t="shared" si="13"/>
        <v>143</v>
      </c>
      <c r="I23" s="524">
        <f t="shared" si="13"/>
        <v>143</v>
      </c>
      <c r="J23" s="524">
        <f t="shared" si="13"/>
        <v>143</v>
      </c>
      <c r="K23" s="524">
        <f t="shared" si="13"/>
        <v>143</v>
      </c>
      <c r="L23" s="524">
        <f t="shared" si="13"/>
        <v>143</v>
      </c>
      <c r="M23" s="524">
        <f t="shared" si="13"/>
        <v>143</v>
      </c>
      <c r="N23" s="524">
        <f t="shared" si="13"/>
        <v>143</v>
      </c>
      <c r="O23" s="524">
        <f t="shared" si="13"/>
        <v>143</v>
      </c>
      <c r="P23" s="524">
        <f t="shared" si="13"/>
        <v>26</v>
      </c>
      <c r="Q23" s="524">
        <f t="shared" si="13"/>
        <v>0</v>
      </c>
      <c r="R23" s="524">
        <f t="shared" si="13"/>
        <v>0</v>
      </c>
      <c r="S23" s="524">
        <f t="shared" si="13"/>
        <v>0</v>
      </c>
      <c r="T23" s="524">
        <f t="shared" si="13"/>
        <v>0</v>
      </c>
      <c r="U23" s="524">
        <f t="shared" si="13"/>
        <v>0</v>
      </c>
      <c r="V23" s="524">
        <f t="shared" si="13"/>
        <v>0</v>
      </c>
      <c r="W23" s="524">
        <f t="shared" si="13"/>
        <v>0</v>
      </c>
      <c r="X23" s="524">
        <f t="shared" si="13"/>
        <v>0</v>
      </c>
      <c r="Y23" s="524">
        <f t="shared" si="13"/>
        <v>0</v>
      </c>
      <c r="Z23" s="524">
        <f t="shared" si="13"/>
        <v>0</v>
      </c>
      <c r="AA23" s="524">
        <f t="shared" si="13"/>
        <v>0</v>
      </c>
      <c r="AB23" s="524">
        <f t="shared" si="13"/>
        <v>0</v>
      </c>
      <c r="AC23" s="524">
        <f t="shared" si="13"/>
        <v>0</v>
      </c>
      <c r="AD23" s="524">
        <f t="shared" si="13"/>
        <v>0</v>
      </c>
      <c r="AE23" s="524">
        <f t="shared" si="13"/>
        <v>0</v>
      </c>
      <c r="AF23" s="524">
        <f t="shared" si="13"/>
        <v>0</v>
      </c>
      <c r="AG23" s="524">
        <f t="shared" si="13"/>
        <v>0</v>
      </c>
      <c r="AH23" s="524">
        <f t="shared" si="13"/>
        <v>0</v>
      </c>
      <c r="AK23" s="110"/>
      <c r="AM23" s="110"/>
      <c r="AO23" s="110"/>
      <c r="AQ23" s="110"/>
    </row>
    <row r="24" spans="1:43" s="289" customFormat="1" x14ac:dyDescent="0.2">
      <c r="A24" s="623" t="s">
        <v>441</v>
      </c>
      <c r="B24" s="624"/>
      <c r="C24" s="624"/>
      <c r="D24" s="624"/>
      <c r="E24" s="624"/>
      <c r="F24" s="624"/>
      <c r="G24" s="624"/>
      <c r="H24" s="624"/>
      <c r="I24" s="624"/>
      <c r="J24" s="624"/>
      <c r="K24" s="624"/>
      <c r="L24" s="624"/>
      <c r="M24" s="624"/>
      <c r="N24" s="624"/>
      <c r="O24" s="624"/>
      <c r="P24" s="624"/>
      <c r="Q24" s="624"/>
      <c r="R24" s="624"/>
      <c r="S24" s="624"/>
      <c r="T24" s="624"/>
      <c r="U24" s="624"/>
      <c r="V24" s="624"/>
      <c r="W24" s="624"/>
      <c r="X24" s="624"/>
      <c r="Y24" s="624"/>
      <c r="Z24" s="624"/>
      <c r="AA24" s="624"/>
      <c r="AB24" s="624"/>
      <c r="AC24" s="624"/>
      <c r="AD24" s="624"/>
      <c r="AE24" s="624"/>
      <c r="AF24" s="624"/>
      <c r="AG24" s="624"/>
      <c r="AH24" s="624"/>
      <c r="AK24" s="110"/>
      <c r="AM24" s="110"/>
      <c r="AN24" s="28"/>
      <c r="AO24" s="110"/>
      <c r="AP24" s="28"/>
      <c r="AQ24" s="110"/>
    </row>
    <row r="25" spans="1:43" x14ac:dyDescent="0.2">
      <c r="A25" s="30" t="s">
        <v>237</v>
      </c>
      <c r="B25" s="524">
        <f>'Datu ievade'!B38</f>
        <v>60300</v>
      </c>
      <c r="C25" s="524">
        <f t="shared" ref="C25:AH25" si="14">IF(B25&gt;B14,B14,B25)</f>
        <v>60300</v>
      </c>
      <c r="D25" s="524">
        <f t="shared" si="14"/>
        <v>60300</v>
      </c>
      <c r="E25" s="524">
        <f t="shared" si="14"/>
        <v>60300</v>
      </c>
      <c r="F25" s="524">
        <f t="shared" si="14"/>
        <v>60300</v>
      </c>
      <c r="G25" s="524">
        <f t="shared" si="14"/>
        <v>60300</v>
      </c>
      <c r="H25" s="524">
        <f t="shared" si="14"/>
        <v>60300</v>
      </c>
      <c r="I25" s="524">
        <f t="shared" si="14"/>
        <v>60300</v>
      </c>
      <c r="J25" s="524">
        <f t="shared" si="14"/>
        <v>60300</v>
      </c>
      <c r="K25" s="524">
        <f t="shared" si="14"/>
        <v>60300</v>
      </c>
      <c r="L25" s="524">
        <f t="shared" si="14"/>
        <v>60300</v>
      </c>
      <c r="M25" s="524">
        <f t="shared" si="14"/>
        <v>60300</v>
      </c>
      <c r="N25" s="524">
        <f t="shared" si="14"/>
        <v>60300</v>
      </c>
      <c r="O25" s="524">
        <f t="shared" si="14"/>
        <v>60300</v>
      </c>
      <c r="P25" s="524">
        <f t="shared" si="14"/>
        <v>60300</v>
      </c>
      <c r="Q25" s="524">
        <f t="shared" si="14"/>
        <v>60300</v>
      </c>
      <c r="R25" s="524">
        <f t="shared" si="14"/>
        <v>60300</v>
      </c>
      <c r="S25" s="524">
        <f t="shared" si="14"/>
        <v>60300</v>
      </c>
      <c r="T25" s="524">
        <f t="shared" si="14"/>
        <v>60300</v>
      </c>
      <c r="U25" s="524">
        <f t="shared" si="14"/>
        <v>60300</v>
      </c>
      <c r="V25" s="524">
        <f t="shared" si="14"/>
        <v>60300</v>
      </c>
      <c r="W25" s="524">
        <f t="shared" si="14"/>
        <v>60300</v>
      </c>
      <c r="X25" s="524">
        <f t="shared" si="14"/>
        <v>60300</v>
      </c>
      <c r="Y25" s="524">
        <f t="shared" si="14"/>
        <v>60300</v>
      </c>
      <c r="Z25" s="524">
        <f t="shared" si="14"/>
        <v>60300</v>
      </c>
      <c r="AA25" s="524">
        <f t="shared" si="14"/>
        <v>60300</v>
      </c>
      <c r="AB25" s="524">
        <f t="shared" si="14"/>
        <v>60300</v>
      </c>
      <c r="AC25" s="524">
        <f t="shared" si="14"/>
        <v>60300</v>
      </c>
      <c r="AD25" s="524">
        <f t="shared" si="14"/>
        <v>60300</v>
      </c>
      <c r="AE25" s="524">
        <f t="shared" si="14"/>
        <v>60300</v>
      </c>
      <c r="AF25" s="524">
        <f t="shared" si="14"/>
        <v>60300</v>
      </c>
      <c r="AG25" s="524">
        <f t="shared" si="14"/>
        <v>60300</v>
      </c>
      <c r="AH25" s="524">
        <f t="shared" si="14"/>
        <v>60300</v>
      </c>
      <c r="AK25" s="110"/>
      <c r="AM25" s="110"/>
      <c r="AO25" s="110"/>
      <c r="AQ25" s="110"/>
    </row>
    <row r="26" spans="1:43" x14ac:dyDescent="0.2">
      <c r="A26" s="30" t="s">
        <v>238</v>
      </c>
      <c r="B26" s="524">
        <f>'Datu ievade'!B39</f>
        <v>97737</v>
      </c>
      <c r="C26" s="524">
        <f t="shared" ref="C26:AH26" si="15">IF(B26&gt;B15,B15,B26)</f>
        <v>97737</v>
      </c>
      <c r="D26" s="524">
        <f t="shared" si="15"/>
        <v>97737</v>
      </c>
      <c r="E26" s="524">
        <f t="shared" si="15"/>
        <v>97737</v>
      </c>
      <c r="F26" s="524">
        <f t="shared" si="15"/>
        <v>97737</v>
      </c>
      <c r="G26" s="524">
        <f t="shared" si="15"/>
        <v>97737</v>
      </c>
      <c r="H26" s="524">
        <f t="shared" si="15"/>
        <v>97737</v>
      </c>
      <c r="I26" s="524">
        <f t="shared" si="15"/>
        <v>97737</v>
      </c>
      <c r="J26" s="524">
        <f t="shared" si="15"/>
        <v>97737</v>
      </c>
      <c r="K26" s="524">
        <f t="shared" si="15"/>
        <v>97737</v>
      </c>
      <c r="L26" s="524">
        <f t="shared" si="15"/>
        <v>97737</v>
      </c>
      <c r="M26" s="524">
        <f t="shared" si="15"/>
        <v>97737</v>
      </c>
      <c r="N26" s="524">
        <f t="shared" si="15"/>
        <v>97737</v>
      </c>
      <c r="O26" s="524">
        <f t="shared" si="15"/>
        <v>97737</v>
      </c>
      <c r="P26" s="524">
        <f t="shared" si="15"/>
        <v>97737</v>
      </c>
      <c r="Q26" s="524">
        <f t="shared" si="15"/>
        <v>97737</v>
      </c>
      <c r="R26" s="524">
        <f t="shared" si="15"/>
        <v>18332</v>
      </c>
      <c r="S26" s="524">
        <f t="shared" si="15"/>
        <v>0</v>
      </c>
      <c r="T26" s="524">
        <f t="shared" si="15"/>
        <v>0</v>
      </c>
      <c r="U26" s="524">
        <f t="shared" si="15"/>
        <v>0</v>
      </c>
      <c r="V26" s="524">
        <f t="shared" si="15"/>
        <v>0</v>
      </c>
      <c r="W26" s="524">
        <f t="shared" si="15"/>
        <v>0</v>
      </c>
      <c r="X26" s="524">
        <f t="shared" si="15"/>
        <v>0</v>
      </c>
      <c r="Y26" s="524">
        <f t="shared" si="15"/>
        <v>0</v>
      </c>
      <c r="Z26" s="524">
        <f t="shared" si="15"/>
        <v>0</v>
      </c>
      <c r="AA26" s="524">
        <f t="shared" si="15"/>
        <v>0</v>
      </c>
      <c r="AB26" s="524">
        <f t="shared" si="15"/>
        <v>0</v>
      </c>
      <c r="AC26" s="524">
        <f t="shared" si="15"/>
        <v>0</v>
      </c>
      <c r="AD26" s="524">
        <f t="shared" si="15"/>
        <v>0</v>
      </c>
      <c r="AE26" s="524">
        <f t="shared" si="15"/>
        <v>0</v>
      </c>
      <c r="AF26" s="524">
        <f t="shared" si="15"/>
        <v>0</v>
      </c>
      <c r="AG26" s="524">
        <f t="shared" si="15"/>
        <v>0</v>
      </c>
      <c r="AH26" s="524">
        <f t="shared" si="15"/>
        <v>0</v>
      </c>
      <c r="AK26" s="110"/>
      <c r="AM26" s="110"/>
      <c r="AO26" s="110"/>
      <c r="AQ26" s="110"/>
    </row>
    <row r="27" spans="1:43" x14ac:dyDescent="0.2">
      <c r="A27" s="30" t="s">
        <v>239</v>
      </c>
      <c r="B27" s="524">
        <f>'Datu ievade'!B40</f>
        <v>12441</v>
      </c>
      <c r="C27" s="524">
        <f t="shared" ref="C27:AH27" si="16">IF(B27&gt;B16,B16,B27)</f>
        <v>12441</v>
      </c>
      <c r="D27" s="524">
        <f t="shared" si="16"/>
        <v>12441</v>
      </c>
      <c r="E27" s="524">
        <f t="shared" si="16"/>
        <v>12441</v>
      </c>
      <c r="F27" s="524">
        <f t="shared" si="16"/>
        <v>12441</v>
      </c>
      <c r="G27" s="524">
        <f t="shared" si="16"/>
        <v>12441</v>
      </c>
      <c r="H27" s="524">
        <f t="shared" si="16"/>
        <v>12441</v>
      </c>
      <c r="I27" s="524">
        <f t="shared" si="16"/>
        <v>12441</v>
      </c>
      <c r="J27" s="524">
        <f t="shared" si="16"/>
        <v>12441</v>
      </c>
      <c r="K27" s="524">
        <f t="shared" si="16"/>
        <v>12441</v>
      </c>
      <c r="L27" s="524">
        <f t="shared" si="16"/>
        <v>12441</v>
      </c>
      <c r="M27" s="524">
        <f t="shared" si="16"/>
        <v>12441</v>
      </c>
      <c r="N27" s="524">
        <f t="shared" si="16"/>
        <v>11562</v>
      </c>
      <c r="O27" s="524">
        <f t="shared" si="16"/>
        <v>0</v>
      </c>
      <c r="P27" s="524">
        <f t="shared" si="16"/>
        <v>0</v>
      </c>
      <c r="Q27" s="524">
        <f t="shared" si="16"/>
        <v>0</v>
      </c>
      <c r="R27" s="524">
        <f t="shared" si="16"/>
        <v>0</v>
      </c>
      <c r="S27" s="524">
        <f t="shared" si="16"/>
        <v>0</v>
      </c>
      <c r="T27" s="524">
        <f t="shared" si="16"/>
        <v>0</v>
      </c>
      <c r="U27" s="524">
        <f t="shared" si="16"/>
        <v>0</v>
      </c>
      <c r="V27" s="524">
        <f t="shared" si="16"/>
        <v>0</v>
      </c>
      <c r="W27" s="524">
        <f t="shared" si="16"/>
        <v>0</v>
      </c>
      <c r="X27" s="524">
        <f t="shared" si="16"/>
        <v>0</v>
      </c>
      <c r="Y27" s="524">
        <f t="shared" si="16"/>
        <v>0</v>
      </c>
      <c r="Z27" s="524">
        <f t="shared" si="16"/>
        <v>0</v>
      </c>
      <c r="AA27" s="524">
        <f t="shared" si="16"/>
        <v>0</v>
      </c>
      <c r="AB27" s="524">
        <f t="shared" si="16"/>
        <v>0</v>
      </c>
      <c r="AC27" s="524">
        <f t="shared" si="16"/>
        <v>0</v>
      </c>
      <c r="AD27" s="524">
        <f t="shared" si="16"/>
        <v>0</v>
      </c>
      <c r="AE27" s="524">
        <f t="shared" si="16"/>
        <v>0</v>
      </c>
      <c r="AF27" s="524">
        <f t="shared" si="16"/>
        <v>0</v>
      </c>
      <c r="AG27" s="524">
        <f t="shared" si="16"/>
        <v>0</v>
      </c>
      <c r="AH27" s="524">
        <f t="shared" si="16"/>
        <v>0</v>
      </c>
      <c r="AK27" s="110"/>
      <c r="AM27" s="110"/>
      <c r="AO27" s="110"/>
      <c r="AQ27" s="110"/>
    </row>
    <row r="28" spans="1:43" x14ac:dyDescent="0.2">
      <c r="A28" s="30" t="s">
        <v>439</v>
      </c>
      <c r="B28" s="524">
        <f>'Datu ievade'!B41</f>
        <v>383</v>
      </c>
      <c r="C28" s="524">
        <f t="shared" ref="C28:AH28" si="17">IF(B28&gt;B17,B17,B28)</f>
        <v>383</v>
      </c>
      <c r="D28" s="524">
        <f t="shared" si="17"/>
        <v>240</v>
      </c>
      <c r="E28" s="524">
        <f t="shared" si="17"/>
        <v>0</v>
      </c>
      <c r="F28" s="524">
        <f t="shared" si="17"/>
        <v>0</v>
      </c>
      <c r="G28" s="524">
        <f t="shared" si="17"/>
        <v>0</v>
      </c>
      <c r="H28" s="524">
        <f t="shared" si="17"/>
        <v>0</v>
      </c>
      <c r="I28" s="524">
        <f t="shared" si="17"/>
        <v>0</v>
      </c>
      <c r="J28" s="524">
        <f t="shared" si="17"/>
        <v>0</v>
      </c>
      <c r="K28" s="524">
        <f t="shared" si="17"/>
        <v>0</v>
      </c>
      <c r="L28" s="524">
        <f t="shared" si="17"/>
        <v>0</v>
      </c>
      <c r="M28" s="524">
        <f t="shared" si="17"/>
        <v>0</v>
      </c>
      <c r="N28" s="524">
        <f t="shared" si="17"/>
        <v>0</v>
      </c>
      <c r="O28" s="524">
        <f t="shared" si="17"/>
        <v>0</v>
      </c>
      <c r="P28" s="524">
        <f t="shared" si="17"/>
        <v>0</v>
      </c>
      <c r="Q28" s="524">
        <f t="shared" si="17"/>
        <v>0</v>
      </c>
      <c r="R28" s="524">
        <f t="shared" si="17"/>
        <v>0</v>
      </c>
      <c r="S28" s="524">
        <f t="shared" si="17"/>
        <v>0</v>
      </c>
      <c r="T28" s="524">
        <f t="shared" si="17"/>
        <v>0</v>
      </c>
      <c r="U28" s="524">
        <f t="shared" si="17"/>
        <v>0</v>
      </c>
      <c r="V28" s="524">
        <f t="shared" si="17"/>
        <v>0</v>
      </c>
      <c r="W28" s="524">
        <f t="shared" si="17"/>
        <v>0</v>
      </c>
      <c r="X28" s="524">
        <f t="shared" si="17"/>
        <v>0</v>
      </c>
      <c r="Y28" s="524">
        <f t="shared" si="17"/>
        <v>0</v>
      </c>
      <c r="Z28" s="524">
        <f t="shared" si="17"/>
        <v>0</v>
      </c>
      <c r="AA28" s="524">
        <f t="shared" si="17"/>
        <v>0</v>
      </c>
      <c r="AB28" s="524">
        <f t="shared" si="17"/>
        <v>0</v>
      </c>
      <c r="AC28" s="524">
        <f t="shared" si="17"/>
        <v>0</v>
      </c>
      <c r="AD28" s="524">
        <f t="shared" si="17"/>
        <v>0</v>
      </c>
      <c r="AE28" s="524">
        <f t="shared" si="17"/>
        <v>0</v>
      </c>
      <c r="AF28" s="524">
        <f t="shared" si="17"/>
        <v>0</v>
      </c>
      <c r="AG28" s="524">
        <f t="shared" si="17"/>
        <v>0</v>
      </c>
      <c r="AH28" s="524">
        <f t="shared" si="17"/>
        <v>0</v>
      </c>
      <c r="AK28" s="110"/>
      <c r="AM28" s="110"/>
      <c r="AO28" s="110"/>
      <c r="AQ28" s="110"/>
    </row>
    <row r="29" spans="1:43" x14ac:dyDescent="0.2">
      <c r="A29" s="118"/>
      <c r="B29" s="118"/>
      <c r="C29" s="118"/>
      <c r="D29" s="118"/>
      <c r="AK29" s="110"/>
      <c r="AM29" s="110"/>
      <c r="AO29" s="110"/>
      <c r="AQ29" s="110"/>
    </row>
    <row r="30" spans="1:43" ht="15" x14ac:dyDescent="0.2">
      <c r="A30" s="428" t="s">
        <v>442</v>
      </c>
      <c r="AK30" s="110"/>
      <c r="AM30" s="110"/>
      <c r="AO30" s="110"/>
      <c r="AQ30" s="110"/>
    </row>
    <row r="31" spans="1:43" x14ac:dyDescent="0.2">
      <c r="A31" s="30"/>
      <c r="B31" s="96">
        <f>Aprēķini!B6</f>
        <v>2017</v>
      </c>
      <c r="C31" s="96">
        <f t="shared" ref="C31:AG31" si="18">B31+1</f>
        <v>2018</v>
      </c>
      <c r="D31" s="96">
        <f t="shared" si="18"/>
        <v>2019</v>
      </c>
      <c r="E31" s="96">
        <f t="shared" si="18"/>
        <v>2020</v>
      </c>
      <c r="F31" s="96">
        <f t="shared" si="18"/>
        <v>2021</v>
      </c>
      <c r="G31" s="96">
        <f t="shared" si="18"/>
        <v>2022</v>
      </c>
      <c r="H31" s="96">
        <f t="shared" si="18"/>
        <v>2023</v>
      </c>
      <c r="I31" s="96">
        <f t="shared" si="18"/>
        <v>2024</v>
      </c>
      <c r="J31" s="96">
        <f t="shared" si="18"/>
        <v>2025</v>
      </c>
      <c r="K31" s="96">
        <f t="shared" si="18"/>
        <v>2026</v>
      </c>
      <c r="L31" s="96">
        <f t="shared" si="18"/>
        <v>2027</v>
      </c>
      <c r="M31" s="96">
        <f t="shared" si="18"/>
        <v>2028</v>
      </c>
      <c r="N31" s="96">
        <f t="shared" si="18"/>
        <v>2029</v>
      </c>
      <c r="O31" s="96">
        <f t="shared" si="18"/>
        <v>2030</v>
      </c>
      <c r="P31" s="96">
        <f t="shared" si="18"/>
        <v>2031</v>
      </c>
      <c r="Q31" s="96">
        <f t="shared" si="18"/>
        <v>2032</v>
      </c>
      <c r="R31" s="96">
        <f t="shared" si="18"/>
        <v>2033</v>
      </c>
      <c r="S31" s="96">
        <f t="shared" si="18"/>
        <v>2034</v>
      </c>
      <c r="T31" s="96">
        <f t="shared" si="18"/>
        <v>2035</v>
      </c>
      <c r="U31" s="96">
        <f t="shared" si="18"/>
        <v>2036</v>
      </c>
      <c r="V31" s="96">
        <f t="shared" si="18"/>
        <v>2037</v>
      </c>
      <c r="W31" s="96">
        <f t="shared" si="18"/>
        <v>2038</v>
      </c>
      <c r="X31" s="96">
        <f t="shared" si="18"/>
        <v>2039</v>
      </c>
      <c r="Y31" s="96">
        <f t="shared" si="18"/>
        <v>2040</v>
      </c>
      <c r="Z31" s="96">
        <f t="shared" si="18"/>
        <v>2041</v>
      </c>
      <c r="AA31" s="96">
        <f t="shared" si="18"/>
        <v>2042</v>
      </c>
      <c r="AB31" s="96">
        <f t="shared" si="18"/>
        <v>2043</v>
      </c>
      <c r="AC31" s="96">
        <f t="shared" si="18"/>
        <v>2044</v>
      </c>
      <c r="AD31" s="96">
        <f t="shared" si="18"/>
        <v>2045</v>
      </c>
      <c r="AE31" s="96">
        <f t="shared" si="18"/>
        <v>2046</v>
      </c>
      <c r="AF31" s="96">
        <f t="shared" si="18"/>
        <v>2047</v>
      </c>
      <c r="AG31" s="96">
        <f t="shared" si="18"/>
        <v>2048</v>
      </c>
      <c r="AH31" s="96">
        <f>AG31+1</f>
        <v>2049</v>
      </c>
      <c r="AK31" s="110"/>
      <c r="AM31" s="110"/>
      <c r="AO31" s="110"/>
      <c r="AQ31" s="110"/>
    </row>
    <row r="32" spans="1:43" x14ac:dyDescent="0.2">
      <c r="A32" s="625" t="s">
        <v>437</v>
      </c>
      <c r="B32" s="624"/>
      <c r="C32" s="624"/>
      <c r="D32" s="624"/>
      <c r="E32" s="624"/>
      <c r="F32" s="624"/>
      <c r="G32" s="624"/>
      <c r="H32" s="624"/>
      <c r="I32" s="624"/>
      <c r="J32" s="624"/>
      <c r="K32" s="624"/>
      <c r="L32" s="624"/>
      <c r="M32" s="624"/>
      <c r="N32" s="624"/>
      <c r="O32" s="624"/>
      <c r="P32" s="624"/>
      <c r="Q32" s="624"/>
      <c r="R32" s="624"/>
      <c r="S32" s="624"/>
      <c r="T32" s="624"/>
      <c r="U32" s="624"/>
      <c r="V32" s="624"/>
      <c r="W32" s="624"/>
      <c r="X32" s="624"/>
      <c r="Y32" s="624"/>
      <c r="Z32" s="624"/>
      <c r="AA32" s="624"/>
      <c r="AB32" s="624"/>
      <c r="AC32" s="624"/>
      <c r="AD32" s="624"/>
      <c r="AE32" s="624"/>
      <c r="AF32" s="624"/>
      <c r="AG32" s="624"/>
      <c r="AH32" s="624"/>
      <c r="AK32" s="110"/>
      <c r="AM32" s="110"/>
      <c r="AO32" s="110"/>
      <c r="AQ32" s="110"/>
    </row>
    <row r="33" spans="1:43" x14ac:dyDescent="0.2">
      <c r="A33" s="626" t="s">
        <v>443</v>
      </c>
      <c r="B33" s="624"/>
      <c r="C33" s="624"/>
      <c r="D33" s="624"/>
      <c r="E33" s="624"/>
      <c r="F33" s="624"/>
      <c r="G33" s="624"/>
      <c r="H33" s="624"/>
      <c r="I33" s="624"/>
      <c r="J33" s="624"/>
      <c r="K33" s="624"/>
      <c r="L33" s="624"/>
      <c r="M33" s="624"/>
      <c r="N33" s="624"/>
      <c r="O33" s="624"/>
      <c r="P33" s="624"/>
      <c r="Q33" s="624"/>
      <c r="R33" s="624"/>
      <c r="S33" s="624"/>
      <c r="T33" s="624"/>
      <c r="U33" s="624"/>
      <c r="V33" s="624"/>
      <c r="W33" s="624"/>
      <c r="X33" s="624"/>
      <c r="Y33" s="624"/>
      <c r="Z33" s="624"/>
      <c r="AA33" s="624"/>
      <c r="AB33" s="624"/>
      <c r="AC33" s="624"/>
      <c r="AD33" s="624"/>
      <c r="AE33" s="624"/>
      <c r="AF33" s="624"/>
      <c r="AG33" s="624"/>
      <c r="AH33" s="624"/>
      <c r="AK33" s="110"/>
      <c r="AM33" s="110"/>
      <c r="AO33" s="110"/>
      <c r="AQ33" s="110"/>
    </row>
    <row r="34" spans="1:43" x14ac:dyDescent="0.2">
      <c r="A34" s="60" t="s">
        <v>237</v>
      </c>
      <c r="B34" s="566"/>
      <c r="C34" s="566"/>
      <c r="D34" s="566"/>
      <c r="E34" s="566"/>
      <c r="F34" s="566"/>
      <c r="G34" s="566"/>
      <c r="H34" s="566"/>
      <c r="I34" s="566"/>
      <c r="J34" s="566"/>
      <c r="K34" s="566"/>
      <c r="L34" s="566"/>
      <c r="M34" s="566"/>
      <c r="N34" s="566"/>
      <c r="O34" s="566"/>
      <c r="P34" s="566"/>
      <c r="Q34" s="566"/>
      <c r="R34" s="566"/>
      <c r="S34" s="566"/>
      <c r="T34" s="566"/>
      <c r="U34" s="566"/>
      <c r="V34" s="566"/>
      <c r="W34" s="566"/>
      <c r="X34" s="566"/>
      <c r="Y34" s="566"/>
      <c r="Z34" s="566"/>
      <c r="AA34" s="566"/>
      <c r="AB34" s="566"/>
      <c r="AC34" s="566"/>
      <c r="AD34" s="566"/>
      <c r="AE34" s="566"/>
      <c r="AF34" s="566"/>
      <c r="AG34" s="566"/>
      <c r="AH34" s="566"/>
      <c r="AK34" s="110"/>
      <c r="AM34" s="110"/>
      <c r="AO34" s="110"/>
      <c r="AQ34" s="110"/>
    </row>
    <row r="35" spans="1:43" x14ac:dyDescent="0.2">
      <c r="A35" s="30" t="s">
        <v>444</v>
      </c>
      <c r="B35" s="567">
        <f>B97</f>
        <v>22272.93</v>
      </c>
      <c r="C35" s="567">
        <f t="shared" ref="C35:AH35" si="19">C97+B35</f>
        <v>34974.557611124357</v>
      </c>
      <c r="D35" s="567">
        <f t="shared" si="19"/>
        <v>34974.557611124357</v>
      </c>
      <c r="E35" s="567">
        <f t="shared" si="19"/>
        <v>34974.557611124357</v>
      </c>
      <c r="F35" s="567">
        <f t="shared" si="19"/>
        <v>34974.557611124357</v>
      </c>
      <c r="G35" s="567">
        <f t="shared" si="19"/>
        <v>34974.557611124357</v>
      </c>
      <c r="H35" s="567">
        <f t="shared" si="19"/>
        <v>34974.557611124357</v>
      </c>
      <c r="I35" s="567">
        <f t="shared" si="19"/>
        <v>34974.557611124357</v>
      </c>
      <c r="J35" s="567">
        <f t="shared" si="19"/>
        <v>34974.557611124357</v>
      </c>
      <c r="K35" s="567">
        <f t="shared" si="19"/>
        <v>34974.557611124357</v>
      </c>
      <c r="L35" s="567">
        <f t="shared" si="19"/>
        <v>34974.557611124357</v>
      </c>
      <c r="M35" s="567">
        <f t="shared" si="19"/>
        <v>34974.557611124357</v>
      </c>
      <c r="N35" s="567">
        <f t="shared" si="19"/>
        <v>34974.557611124357</v>
      </c>
      <c r="O35" s="567">
        <f t="shared" si="19"/>
        <v>34974.557611124357</v>
      </c>
      <c r="P35" s="567">
        <f t="shared" si="19"/>
        <v>34974.557611124357</v>
      </c>
      <c r="Q35" s="567">
        <f t="shared" si="19"/>
        <v>34974.557611124357</v>
      </c>
      <c r="R35" s="567">
        <f t="shared" si="19"/>
        <v>34974.557611124357</v>
      </c>
      <c r="S35" s="567">
        <f t="shared" si="19"/>
        <v>34974.557611124357</v>
      </c>
      <c r="T35" s="567">
        <f t="shared" si="19"/>
        <v>34974.557611124357</v>
      </c>
      <c r="U35" s="567">
        <f t="shared" si="19"/>
        <v>34974.557611124357</v>
      </c>
      <c r="V35" s="567">
        <f t="shared" si="19"/>
        <v>34974.557611124357</v>
      </c>
      <c r="W35" s="567">
        <f t="shared" si="19"/>
        <v>34974.557611124357</v>
      </c>
      <c r="X35" s="567">
        <f t="shared" si="19"/>
        <v>34974.557611124357</v>
      </c>
      <c r="Y35" s="567">
        <f t="shared" si="19"/>
        <v>34974.557611124357</v>
      </c>
      <c r="Z35" s="567">
        <f t="shared" si="19"/>
        <v>34974.557611124357</v>
      </c>
      <c r="AA35" s="567">
        <f t="shared" si="19"/>
        <v>34974.557611124357</v>
      </c>
      <c r="AB35" s="567">
        <f t="shared" si="19"/>
        <v>34974.557611124357</v>
      </c>
      <c r="AC35" s="567">
        <f t="shared" si="19"/>
        <v>34974.557611124357</v>
      </c>
      <c r="AD35" s="567">
        <f t="shared" si="19"/>
        <v>34974.557611124357</v>
      </c>
      <c r="AE35" s="567">
        <f t="shared" si="19"/>
        <v>34974.557611124357</v>
      </c>
      <c r="AF35" s="567">
        <f t="shared" si="19"/>
        <v>34974.557611124357</v>
      </c>
      <c r="AG35" s="567">
        <f t="shared" si="19"/>
        <v>34974.557611124357</v>
      </c>
      <c r="AH35" s="567">
        <f t="shared" si="19"/>
        <v>34974.557611124357</v>
      </c>
      <c r="AK35" s="110"/>
      <c r="AM35" s="110"/>
      <c r="AO35" s="110"/>
      <c r="AQ35" s="110"/>
    </row>
    <row r="36" spans="1:43" x14ac:dyDescent="0.2">
      <c r="A36" s="30" t="s">
        <v>445</v>
      </c>
      <c r="B36" s="568">
        <f>1/'Kopējie pieņēmumi'!$B$30</f>
        <v>0.02</v>
      </c>
      <c r="C36" s="568">
        <f>B36</f>
        <v>0.02</v>
      </c>
      <c r="D36" s="568">
        <f t="shared" ref="D36:AH36" si="20">C36</f>
        <v>0.02</v>
      </c>
      <c r="E36" s="568">
        <f t="shared" si="20"/>
        <v>0.02</v>
      </c>
      <c r="F36" s="568">
        <f t="shared" si="20"/>
        <v>0.02</v>
      </c>
      <c r="G36" s="568">
        <f t="shared" si="20"/>
        <v>0.02</v>
      </c>
      <c r="H36" s="568">
        <f t="shared" si="20"/>
        <v>0.02</v>
      </c>
      <c r="I36" s="568">
        <f t="shared" si="20"/>
        <v>0.02</v>
      </c>
      <c r="J36" s="568">
        <f t="shared" si="20"/>
        <v>0.02</v>
      </c>
      <c r="K36" s="568">
        <f t="shared" si="20"/>
        <v>0.02</v>
      </c>
      <c r="L36" s="568">
        <f t="shared" si="20"/>
        <v>0.02</v>
      </c>
      <c r="M36" s="568">
        <f t="shared" si="20"/>
        <v>0.02</v>
      </c>
      <c r="N36" s="568">
        <f t="shared" si="20"/>
        <v>0.02</v>
      </c>
      <c r="O36" s="568">
        <f t="shared" si="20"/>
        <v>0.02</v>
      </c>
      <c r="P36" s="568">
        <f t="shared" si="20"/>
        <v>0.02</v>
      </c>
      <c r="Q36" s="568">
        <f t="shared" si="20"/>
        <v>0.02</v>
      </c>
      <c r="R36" s="568">
        <f t="shared" si="20"/>
        <v>0.02</v>
      </c>
      <c r="S36" s="568">
        <f t="shared" si="20"/>
        <v>0.02</v>
      </c>
      <c r="T36" s="568">
        <f t="shared" si="20"/>
        <v>0.02</v>
      </c>
      <c r="U36" s="568">
        <f t="shared" si="20"/>
        <v>0.02</v>
      </c>
      <c r="V36" s="568">
        <f t="shared" si="20"/>
        <v>0.02</v>
      </c>
      <c r="W36" s="568">
        <f t="shared" si="20"/>
        <v>0.02</v>
      </c>
      <c r="X36" s="568">
        <f t="shared" si="20"/>
        <v>0.02</v>
      </c>
      <c r="Y36" s="568">
        <f t="shared" si="20"/>
        <v>0.02</v>
      </c>
      <c r="Z36" s="568">
        <f t="shared" si="20"/>
        <v>0.02</v>
      </c>
      <c r="AA36" s="568">
        <f t="shared" si="20"/>
        <v>0.02</v>
      </c>
      <c r="AB36" s="568">
        <f t="shared" si="20"/>
        <v>0.02</v>
      </c>
      <c r="AC36" s="568">
        <f t="shared" si="20"/>
        <v>0.02</v>
      </c>
      <c r="AD36" s="568">
        <f t="shared" si="20"/>
        <v>0.02</v>
      </c>
      <c r="AE36" s="568">
        <f t="shared" si="20"/>
        <v>0.02</v>
      </c>
      <c r="AF36" s="568">
        <f t="shared" si="20"/>
        <v>0.02</v>
      </c>
      <c r="AG36" s="568">
        <f t="shared" si="20"/>
        <v>0.02</v>
      </c>
      <c r="AH36" s="568">
        <f t="shared" si="20"/>
        <v>0.02</v>
      </c>
      <c r="AK36" s="110"/>
      <c r="AM36" s="110"/>
      <c r="AO36" s="110"/>
      <c r="AQ36" s="110"/>
    </row>
    <row r="37" spans="1:43" x14ac:dyDescent="0.2">
      <c r="A37" s="30" t="s">
        <v>446</v>
      </c>
      <c r="B37" s="524">
        <v>0</v>
      </c>
      <c r="C37" s="567">
        <f t="shared" ref="C37:AG37" si="21">IF(B39&gt;0,IF(C35-B35&gt;0,0,C36*C35),0)</f>
        <v>0</v>
      </c>
      <c r="D37" s="567">
        <f t="shared" si="21"/>
        <v>699.49115222248713</v>
      </c>
      <c r="E37" s="567">
        <f t="shared" si="21"/>
        <v>699.49115222248713</v>
      </c>
      <c r="F37" s="567">
        <f t="shared" si="21"/>
        <v>699.49115222248713</v>
      </c>
      <c r="G37" s="567">
        <f t="shared" si="21"/>
        <v>699.49115222248713</v>
      </c>
      <c r="H37" s="567">
        <f t="shared" si="21"/>
        <v>699.49115222248713</v>
      </c>
      <c r="I37" s="567">
        <f t="shared" si="21"/>
        <v>699.49115222248713</v>
      </c>
      <c r="J37" s="567">
        <f t="shared" si="21"/>
        <v>699.49115222248713</v>
      </c>
      <c r="K37" s="567">
        <f t="shared" si="21"/>
        <v>699.49115222248713</v>
      </c>
      <c r="L37" s="567">
        <f t="shared" si="21"/>
        <v>699.49115222248713</v>
      </c>
      <c r="M37" s="567">
        <f t="shared" si="21"/>
        <v>699.49115222248713</v>
      </c>
      <c r="N37" s="567">
        <f t="shared" si="21"/>
        <v>699.49115222248713</v>
      </c>
      <c r="O37" s="567">
        <f t="shared" si="21"/>
        <v>699.49115222248713</v>
      </c>
      <c r="P37" s="567">
        <f t="shared" si="21"/>
        <v>699.49115222248713</v>
      </c>
      <c r="Q37" s="567">
        <f t="shared" si="21"/>
        <v>699.49115222248713</v>
      </c>
      <c r="R37" s="567">
        <f t="shared" si="21"/>
        <v>699.49115222248713</v>
      </c>
      <c r="S37" s="567">
        <f t="shared" si="21"/>
        <v>699.49115222248713</v>
      </c>
      <c r="T37" s="567">
        <f t="shared" si="21"/>
        <v>699.49115222248713</v>
      </c>
      <c r="U37" s="567">
        <f t="shared" si="21"/>
        <v>699.49115222248713</v>
      </c>
      <c r="V37" s="567">
        <f t="shared" si="21"/>
        <v>699.49115222248713</v>
      </c>
      <c r="W37" s="567">
        <f t="shared" si="21"/>
        <v>699.49115222248713</v>
      </c>
      <c r="X37" s="567">
        <f t="shared" si="21"/>
        <v>699.49115222248713</v>
      </c>
      <c r="Y37" s="567">
        <f t="shared" si="21"/>
        <v>699.49115222248713</v>
      </c>
      <c r="Z37" s="567">
        <f t="shared" si="21"/>
        <v>699.49115222248713</v>
      </c>
      <c r="AA37" s="567">
        <f t="shared" si="21"/>
        <v>699.49115222248713</v>
      </c>
      <c r="AB37" s="567">
        <f t="shared" si="21"/>
        <v>699.49115222248713</v>
      </c>
      <c r="AC37" s="567">
        <f t="shared" si="21"/>
        <v>699.49115222248713</v>
      </c>
      <c r="AD37" s="567">
        <f t="shared" si="21"/>
        <v>699.49115222248713</v>
      </c>
      <c r="AE37" s="567">
        <f t="shared" si="21"/>
        <v>699.49115222248713</v>
      </c>
      <c r="AF37" s="567">
        <f t="shared" si="21"/>
        <v>699.49115222248713</v>
      </c>
      <c r="AG37" s="567">
        <f t="shared" si="21"/>
        <v>699.49115222248713</v>
      </c>
      <c r="AH37" s="567">
        <f>IF(AG39&gt;0,IF(AH35-AG35&gt;0,0,AH36*AH35),0)</f>
        <v>699.49115222248713</v>
      </c>
      <c r="AK37" s="110"/>
      <c r="AM37" s="110"/>
      <c r="AO37" s="110"/>
      <c r="AQ37" s="110"/>
    </row>
    <row r="38" spans="1:43" x14ac:dyDescent="0.2">
      <c r="A38" s="30" t="s">
        <v>447</v>
      </c>
      <c r="B38" s="567">
        <f>B37</f>
        <v>0</v>
      </c>
      <c r="C38" s="567">
        <f t="shared" ref="C38:AG38" si="22">C37+B38</f>
        <v>0</v>
      </c>
      <c r="D38" s="567">
        <f t="shared" si="22"/>
        <v>699.49115222248713</v>
      </c>
      <c r="E38" s="567">
        <f t="shared" si="22"/>
        <v>1398.9823044449743</v>
      </c>
      <c r="F38" s="567">
        <f t="shared" si="22"/>
        <v>2098.4734566674615</v>
      </c>
      <c r="G38" s="567">
        <f t="shared" si="22"/>
        <v>2797.9646088899485</v>
      </c>
      <c r="H38" s="567">
        <f t="shared" si="22"/>
        <v>3497.4557611124355</v>
      </c>
      <c r="I38" s="567">
        <f t="shared" si="22"/>
        <v>4196.946913334923</v>
      </c>
      <c r="J38" s="567">
        <f t="shared" si="22"/>
        <v>4896.4380655574105</v>
      </c>
      <c r="K38" s="567">
        <f t="shared" si="22"/>
        <v>5595.929217779898</v>
      </c>
      <c r="L38" s="567">
        <f t="shared" si="22"/>
        <v>6295.4203700023854</v>
      </c>
      <c r="M38" s="567">
        <f t="shared" si="22"/>
        <v>6994.9115222248729</v>
      </c>
      <c r="N38" s="567">
        <f t="shared" si="22"/>
        <v>7694.4026744473604</v>
      </c>
      <c r="O38" s="567">
        <f t="shared" si="22"/>
        <v>8393.8938266698478</v>
      </c>
      <c r="P38" s="567">
        <f t="shared" si="22"/>
        <v>9093.3849788923344</v>
      </c>
      <c r="Q38" s="567">
        <f t="shared" si="22"/>
        <v>9792.876131114821</v>
      </c>
      <c r="R38" s="567">
        <f t="shared" si="22"/>
        <v>10492.367283337308</v>
      </c>
      <c r="S38" s="567">
        <f t="shared" si="22"/>
        <v>11191.858435559794</v>
      </c>
      <c r="T38" s="567">
        <f t="shared" si="22"/>
        <v>11891.349587782281</v>
      </c>
      <c r="U38" s="567">
        <f t="shared" si="22"/>
        <v>12590.840740004767</v>
      </c>
      <c r="V38" s="567">
        <f t="shared" si="22"/>
        <v>13290.331892227254</v>
      </c>
      <c r="W38" s="567">
        <f t="shared" si="22"/>
        <v>13989.82304444974</v>
      </c>
      <c r="X38" s="567">
        <f t="shared" si="22"/>
        <v>14689.314196672227</v>
      </c>
      <c r="Y38" s="567">
        <f t="shared" si="22"/>
        <v>15388.805348894713</v>
      </c>
      <c r="Z38" s="567">
        <f t="shared" si="22"/>
        <v>16088.2965011172</v>
      </c>
      <c r="AA38" s="567">
        <f t="shared" si="22"/>
        <v>16787.787653339688</v>
      </c>
      <c r="AB38" s="567">
        <f t="shared" si="22"/>
        <v>17487.278805562175</v>
      </c>
      <c r="AC38" s="567">
        <f t="shared" si="22"/>
        <v>18186.769957784662</v>
      </c>
      <c r="AD38" s="567">
        <f t="shared" si="22"/>
        <v>18886.261110007148</v>
      </c>
      <c r="AE38" s="567">
        <f t="shared" si="22"/>
        <v>19585.752262229635</v>
      </c>
      <c r="AF38" s="567">
        <f t="shared" si="22"/>
        <v>20285.243414452121</v>
      </c>
      <c r="AG38" s="567">
        <f t="shared" si="22"/>
        <v>20984.734566674608</v>
      </c>
      <c r="AH38" s="567">
        <f>AH37+AG38</f>
        <v>21684.225718897094</v>
      </c>
      <c r="AK38" s="110"/>
      <c r="AM38" s="110"/>
      <c r="AO38" s="110"/>
      <c r="AQ38" s="110"/>
    </row>
    <row r="39" spans="1:43" x14ac:dyDescent="0.2">
      <c r="A39" s="30" t="s">
        <v>448</v>
      </c>
      <c r="B39" s="567">
        <f t="shared" ref="B39:AG39" si="23">ROUND(IF(B35-B38&gt;0,B35-B38,0),0)</f>
        <v>22273</v>
      </c>
      <c r="C39" s="567">
        <f t="shared" si="23"/>
        <v>34975</v>
      </c>
      <c r="D39" s="567">
        <f t="shared" si="23"/>
        <v>34275</v>
      </c>
      <c r="E39" s="567">
        <f t="shared" si="23"/>
        <v>33576</v>
      </c>
      <c r="F39" s="567">
        <f t="shared" si="23"/>
        <v>32876</v>
      </c>
      <c r="G39" s="567">
        <f t="shared" si="23"/>
        <v>32177</v>
      </c>
      <c r="H39" s="567">
        <f t="shared" si="23"/>
        <v>31477</v>
      </c>
      <c r="I39" s="567">
        <f t="shared" si="23"/>
        <v>30778</v>
      </c>
      <c r="J39" s="567">
        <f t="shared" si="23"/>
        <v>30078</v>
      </c>
      <c r="K39" s="567">
        <f t="shared" si="23"/>
        <v>29379</v>
      </c>
      <c r="L39" s="567">
        <f t="shared" si="23"/>
        <v>28679</v>
      </c>
      <c r="M39" s="567">
        <f t="shared" si="23"/>
        <v>27980</v>
      </c>
      <c r="N39" s="567">
        <f t="shared" si="23"/>
        <v>27280</v>
      </c>
      <c r="O39" s="567">
        <f t="shared" si="23"/>
        <v>26581</v>
      </c>
      <c r="P39" s="567">
        <f t="shared" si="23"/>
        <v>25881</v>
      </c>
      <c r="Q39" s="567">
        <f t="shared" si="23"/>
        <v>25182</v>
      </c>
      <c r="R39" s="567">
        <f t="shared" si="23"/>
        <v>24482</v>
      </c>
      <c r="S39" s="567">
        <f t="shared" si="23"/>
        <v>23783</v>
      </c>
      <c r="T39" s="567">
        <f t="shared" si="23"/>
        <v>23083</v>
      </c>
      <c r="U39" s="567">
        <f t="shared" si="23"/>
        <v>22384</v>
      </c>
      <c r="V39" s="567">
        <f t="shared" si="23"/>
        <v>21684</v>
      </c>
      <c r="W39" s="567">
        <f t="shared" si="23"/>
        <v>20985</v>
      </c>
      <c r="X39" s="567">
        <f t="shared" si="23"/>
        <v>20285</v>
      </c>
      <c r="Y39" s="567">
        <f t="shared" si="23"/>
        <v>19586</v>
      </c>
      <c r="Z39" s="567">
        <f t="shared" si="23"/>
        <v>18886</v>
      </c>
      <c r="AA39" s="567">
        <f t="shared" si="23"/>
        <v>18187</v>
      </c>
      <c r="AB39" s="567">
        <f t="shared" si="23"/>
        <v>17487</v>
      </c>
      <c r="AC39" s="567">
        <f t="shared" si="23"/>
        <v>16788</v>
      </c>
      <c r="AD39" s="567">
        <f t="shared" si="23"/>
        <v>16088</v>
      </c>
      <c r="AE39" s="567">
        <f t="shared" si="23"/>
        <v>15389</v>
      </c>
      <c r="AF39" s="567">
        <f t="shared" si="23"/>
        <v>14689</v>
      </c>
      <c r="AG39" s="567">
        <f t="shared" si="23"/>
        <v>13990</v>
      </c>
      <c r="AH39" s="567">
        <f>ROUND(IF(AH35-AH38&gt;0,AH35-AH38,0),0)</f>
        <v>13290</v>
      </c>
      <c r="AK39" s="110"/>
      <c r="AM39" s="110"/>
      <c r="AO39" s="110"/>
      <c r="AQ39" s="110"/>
    </row>
    <row r="40" spans="1:43" x14ac:dyDescent="0.2">
      <c r="A40" s="60" t="s">
        <v>238</v>
      </c>
      <c r="B40" s="524"/>
      <c r="C40" s="524"/>
      <c r="D40" s="524"/>
      <c r="E40" s="524"/>
      <c r="F40" s="524"/>
      <c r="G40" s="524"/>
      <c r="H40" s="524"/>
      <c r="I40" s="524"/>
      <c r="J40" s="524"/>
      <c r="K40" s="524"/>
      <c r="L40" s="524"/>
      <c r="M40" s="524"/>
      <c r="N40" s="524"/>
      <c r="O40" s="524"/>
      <c r="P40" s="524"/>
      <c r="Q40" s="524"/>
      <c r="R40" s="524"/>
      <c r="S40" s="524"/>
      <c r="T40" s="524"/>
      <c r="U40" s="524"/>
      <c r="V40" s="524"/>
      <c r="W40" s="524"/>
      <c r="X40" s="524"/>
      <c r="Y40" s="524"/>
      <c r="Z40" s="524"/>
      <c r="AA40" s="524"/>
      <c r="AB40" s="524"/>
      <c r="AC40" s="524"/>
      <c r="AD40" s="524"/>
      <c r="AE40" s="524"/>
      <c r="AF40" s="524"/>
      <c r="AG40" s="524"/>
      <c r="AH40" s="524"/>
      <c r="AK40" s="110"/>
      <c r="AM40" s="110"/>
      <c r="AO40" s="110"/>
      <c r="AQ40" s="110"/>
    </row>
    <row r="41" spans="1:43" x14ac:dyDescent="0.2">
      <c r="A41" s="30" t="s">
        <v>444</v>
      </c>
      <c r="B41" s="567">
        <f>B98</f>
        <v>0</v>
      </c>
      <c r="C41" s="567">
        <f>C98+B41</f>
        <v>0</v>
      </c>
      <c r="D41" s="567">
        <f t="shared" ref="D41:AH41" si="24">D98+C41</f>
        <v>0</v>
      </c>
      <c r="E41" s="567">
        <f t="shared" si="24"/>
        <v>0</v>
      </c>
      <c r="F41" s="567">
        <f t="shared" si="24"/>
        <v>0</v>
      </c>
      <c r="G41" s="567">
        <f t="shared" si="24"/>
        <v>0</v>
      </c>
      <c r="H41" s="567">
        <f t="shared" si="24"/>
        <v>0</v>
      </c>
      <c r="I41" s="567">
        <f t="shared" si="24"/>
        <v>0</v>
      </c>
      <c r="J41" s="567">
        <f t="shared" si="24"/>
        <v>0</v>
      </c>
      <c r="K41" s="567">
        <f t="shared" si="24"/>
        <v>0</v>
      </c>
      <c r="L41" s="567">
        <f t="shared" si="24"/>
        <v>0</v>
      </c>
      <c r="M41" s="567">
        <f t="shared" si="24"/>
        <v>0</v>
      </c>
      <c r="N41" s="567">
        <f t="shared" si="24"/>
        <v>0</v>
      </c>
      <c r="O41" s="567">
        <f t="shared" si="24"/>
        <v>0</v>
      </c>
      <c r="P41" s="567">
        <f t="shared" si="24"/>
        <v>0</v>
      </c>
      <c r="Q41" s="567">
        <f t="shared" si="24"/>
        <v>0</v>
      </c>
      <c r="R41" s="567">
        <f t="shared" si="24"/>
        <v>0</v>
      </c>
      <c r="S41" s="567">
        <f t="shared" si="24"/>
        <v>0</v>
      </c>
      <c r="T41" s="567">
        <f t="shared" si="24"/>
        <v>0</v>
      </c>
      <c r="U41" s="567">
        <f t="shared" si="24"/>
        <v>0</v>
      </c>
      <c r="V41" s="567">
        <f t="shared" si="24"/>
        <v>0</v>
      </c>
      <c r="W41" s="567">
        <f t="shared" si="24"/>
        <v>0</v>
      </c>
      <c r="X41" s="567">
        <f t="shared" si="24"/>
        <v>0</v>
      </c>
      <c r="Y41" s="567">
        <f t="shared" si="24"/>
        <v>0</v>
      </c>
      <c r="Z41" s="567">
        <f t="shared" si="24"/>
        <v>0</v>
      </c>
      <c r="AA41" s="567">
        <f t="shared" si="24"/>
        <v>0</v>
      </c>
      <c r="AB41" s="567">
        <f t="shared" si="24"/>
        <v>0</v>
      </c>
      <c r="AC41" s="567">
        <f t="shared" si="24"/>
        <v>0</v>
      </c>
      <c r="AD41" s="567">
        <f t="shared" si="24"/>
        <v>0</v>
      </c>
      <c r="AE41" s="567">
        <f t="shared" si="24"/>
        <v>0</v>
      </c>
      <c r="AF41" s="567">
        <f t="shared" si="24"/>
        <v>0</v>
      </c>
      <c r="AG41" s="567">
        <f t="shared" si="24"/>
        <v>0</v>
      </c>
      <c r="AH41" s="567">
        <f t="shared" si="24"/>
        <v>0</v>
      </c>
      <c r="AK41" s="110"/>
      <c r="AM41" s="110"/>
      <c r="AO41" s="110"/>
      <c r="AQ41" s="110"/>
    </row>
    <row r="42" spans="1:43" x14ac:dyDescent="0.2">
      <c r="A42" s="30" t="s">
        <v>445</v>
      </c>
      <c r="B42" s="568">
        <f>1/'Kopējie pieņēmumi'!$B$31</f>
        <v>0.1</v>
      </c>
      <c r="C42" s="568">
        <f>B42</f>
        <v>0.1</v>
      </c>
      <c r="D42" s="568">
        <f t="shared" ref="D42:AH42" si="25">C42</f>
        <v>0.1</v>
      </c>
      <c r="E42" s="568">
        <f t="shared" si="25"/>
        <v>0.1</v>
      </c>
      <c r="F42" s="568">
        <f t="shared" si="25"/>
        <v>0.1</v>
      </c>
      <c r="G42" s="568">
        <f t="shared" si="25"/>
        <v>0.1</v>
      </c>
      <c r="H42" s="568">
        <f t="shared" si="25"/>
        <v>0.1</v>
      </c>
      <c r="I42" s="568">
        <f t="shared" si="25"/>
        <v>0.1</v>
      </c>
      <c r="J42" s="568">
        <f t="shared" si="25"/>
        <v>0.1</v>
      </c>
      <c r="K42" s="568">
        <f t="shared" si="25"/>
        <v>0.1</v>
      </c>
      <c r="L42" s="568">
        <f t="shared" si="25"/>
        <v>0.1</v>
      </c>
      <c r="M42" s="568">
        <f t="shared" si="25"/>
        <v>0.1</v>
      </c>
      <c r="N42" s="568">
        <f t="shared" si="25"/>
        <v>0.1</v>
      </c>
      <c r="O42" s="568">
        <f t="shared" si="25"/>
        <v>0.1</v>
      </c>
      <c r="P42" s="568">
        <f t="shared" si="25"/>
        <v>0.1</v>
      </c>
      <c r="Q42" s="568">
        <f t="shared" si="25"/>
        <v>0.1</v>
      </c>
      <c r="R42" s="568">
        <f t="shared" si="25"/>
        <v>0.1</v>
      </c>
      <c r="S42" s="568">
        <f t="shared" si="25"/>
        <v>0.1</v>
      </c>
      <c r="T42" s="568">
        <f t="shared" si="25"/>
        <v>0.1</v>
      </c>
      <c r="U42" s="568">
        <f t="shared" si="25"/>
        <v>0.1</v>
      </c>
      <c r="V42" s="568">
        <f t="shared" si="25"/>
        <v>0.1</v>
      </c>
      <c r="W42" s="568">
        <f t="shared" si="25"/>
        <v>0.1</v>
      </c>
      <c r="X42" s="568">
        <f t="shared" si="25"/>
        <v>0.1</v>
      </c>
      <c r="Y42" s="568">
        <f t="shared" si="25"/>
        <v>0.1</v>
      </c>
      <c r="Z42" s="568">
        <f t="shared" si="25"/>
        <v>0.1</v>
      </c>
      <c r="AA42" s="568">
        <f t="shared" si="25"/>
        <v>0.1</v>
      </c>
      <c r="AB42" s="568">
        <f t="shared" si="25"/>
        <v>0.1</v>
      </c>
      <c r="AC42" s="568">
        <f t="shared" si="25"/>
        <v>0.1</v>
      </c>
      <c r="AD42" s="568">
        <f t="shared" si="25"/>
        <v>0.1</v>
      </c>
      <c r="AE42" s="568">
        <f t="shared" si="25"/>
        <v>0.1</v>
      </c>
      <c r="AF42" s="568">
        <f t="shared" si="25"/>
        <v>0.1</v>
      </c>
      <c r="AG42" s="568">
        <f t="shared" si="25"/>
        <v>0.1</v>
      </c>
      <c r="AH42" s="568">
        <f t="shared" si="25"/>
        <v>0.1</v>
      </c>
      <c r="AK42" s="110"/>
      <c r="AM42" s="110"/>
      <c r="AO42" s="110"/>
      <c r="AQ42" s="110"/>
    </row>
    <row r="43" spans="1:43" x14ac:dyDescent="0.2">
      <c r="A43" s="30" t="s">
        <v>446</v>
      </c>
      <c r="B43" s="524">
        <v>0</v>
      </c>
      <c r="C43" s="567">
        <f t="shared" ref="C43:AG43" si="26">IF(B45&gt;0,IF(C41-B41&gt;0,0,C42*C41),0)</f>
        <v>0</v>
      </c>
      <c r="D43" s="567">
        <f t="shared" si="26"/>
        <v>0</v>
      </c>
      <c r="E43" s="567">
        <f t="shared" si="26"/>
        <v>0</v>
      </c>
      <c r="F43" s="567">
        <f t="shared" si="26"/>
        <v>0</v>
      </c>
      <c r="G43" s="567">
        <f t="shared" si="26"/>
        <v>0</v>
      </c>
      <c r="H43" s="567">
        <f t="shared" si="26"/>
        <v>0</v>
      </c>
      <c r="I43" s="567">
        <f t="shared" si="26"/>
        <v>0</v>
      </c>
      <c r="J43" s="567">
        <f t="shared" si="26"/>
        <v>0</v>
      </c>
      <c r="K43" s="567">
        <f t="shared" si="26"/>
        <v>0</v>
      </c>
      <c r="L43" s="567">
        <f t="shared" si="26"/>
        <v>0</v>
      </c>
      <c r="M43" s="567">
        <f t="shared" si="26"/>
        <v>0</v>
      </c>
      <c r="N43" s="567">
        <f t="shared" si="26"/>
        <v>0</v>
      </c>
      <c r="O43" s="567">
        <f t="shared" si="26"/>
        <v>0</v>
      </c>
      <c r="P43" s="567">
        <f t="shared" si="26"/>
        <v>0</v>
      </c>
      <c r="Q43" s="567">
        <f t="shared" si="26"/>
        <v>0</v>
      </c>
      <c r="R43" s="567">
        <f t="shared" si="26"/>
        <v>0</v>
      </c>
      <c r="S43" s="567">
        <f t="shared" si="26"/>
        <v>0</v>
      </c>
      <c r="T43" s="567">
        <f t="shared" si="26"/>
        <v>0</v>
      </c>
      <c r="U43" s="567">
        <f t="shared" si="26"/>
        <v>0</v>
      </c>
      <c r="V43" s="567">
        <f t="shared" si="26"/>
        <v>0</v>
      </c>
      <c r="W43" s="567">
        <f t="shared" si="26"/>
        <v>0</v>
      </c>
      <c r="X43" s="567">
        <f t="shared" si="26"/>
        <v>0</v>
      </c>
      <c r="Y43" s="567">
        <f t="shared" si="26"/>
        <v>0</v>
      </c>
      <c r="Z43" s="567">
        <f t="shared" si="26"/>
        <v>0</v>
      </c>
      <c r="AA43" s="567">
        <f t="shared" si="26"/>
        <v>0</v>
      </c>
      <c r="AB43" s="567">
        <f t="shared" si="26"/>
        <v>0</v>
      </c>
      <c r="AC43" s="567">
        <f t="shared" si="26"/>
        <v>0</v>
      </c>
      <c r="AD43" s="567">
        <f t="shared" si="26"/>
        <v>0</v>
      </c>
      <c r="AE43" s="567">
        <f t="shared" si="26"/>
        <v>0</v>
      </c>
      <c r="AF43" s="567">
        <f t="shared" si="26"/>
        <v>0</v>
      </c>
      <c r="AG43" s="567">
        <f t="shared" si="26"/>
        <v>0</v>
      </c>
      <c r="AH43" s="567">
        <f>IF(AG45&gt;0,IF(AH41-AG41&gt;0,0,AH42*AH41),0)</f>
        <v>0</v>
      </c>
      <c r="AK43" s="110"/>
      <c r="AM43" s="110"/>
      <c r="AO43" s="110"/>
      <c r="AQ43" s="110"/>
    </row>
    <row r="44" spans="1:43" x14ac:dyDescent="0.2">
      <c r="A44" s="30" t="s">
        <v>447</v>
      </c>
      <c r="B44" s="567">
        <f>B43</f>
        <v>0</v>
      </c>
      <c r="C44" s="567">
        <f t="shared" ref="C44:AG44" si="27">C43+B44</f>
        <v>0</v>
      </c>
      <c r="D44" s="567">
        <f>D43+C44</f>
        <v>0</v>
      </c>
      <c r="E44" s="567">
        <f t="shared" si="27"/>
        <v>0</v>
      </c>
      <c r="F44" s="567">
        <f t="shared" si="27"/>
        <v>0</v>
      </c>
      <c r="G44" s="567">
        <f t="shared" si="27"/>
        <v>0</v>
      </c>
      <c r="H44" s="567">
        <f t="shared" si="27"/>
        <v>0</v>
      </c>
      <c r="I44" s="567">
        <f t="shared" si="27"/>
        <v>0</v>
      </c>
      <c r="J44" s="567">
        <f t="shared" si="27"/>
        <v>0</v>
      </c>
      <c r="K44" s="567">
        <f t="shared" si="27"/>
        <v>0</v>
      </c>
      <c r="L44" s="567">
        <f t="shared" si="27"/>
        <v>0</v>
      </c>
      <c r="M44" s="567">
        <f t="shared" si="27"/>
        <v>0</v>
      </c>
      <c r="N44" s="567">
        <f t="shared" si="27"/>
        <v>0</v>
      </c>
      <c r="O44" s="567">
        <f t="shared" si="27"/>
        <v>0</v>
      </c>
      <c r="P44" s="567">
        <f t="shared" si="27"/>
        <v>0</v>
      </c>
      <c r="Q44" s="567">
        <f>Q43+P44</f>
        <v>0</v>
      </c>
      <c r="R44" s="567">
        <f>R43+Q44</f>
        <v>0</v>
      </c>
      <c r="S44" s="567">
        <f t="shared" si="27"/>
        <v>0</v>
      </c>
      <c r="T44" s="567">
        <f t="shared" si="27"/>
        <v>0</v>
      </c>
      <c r="U44" s="567">
        <f t="shared" si="27"/>
        <v>0</v>
      </c>
      <c r="V44" s="567">
        <f t="shared" si="27"/>
        <v>0</v>
      </c>
      <c r="W44" s="567">
        <f t="shared" si="27"/>
        <v>0</v>
      </c>
      <c r="X44" s="567">
        <f t="shared" si="27"/>
        <v>0</v>
      </c>
      <c r="Y44" s="567">
        <f t="shared" si="27"/>
        <v>0</v>
      </c>
      <c r="Z44" s="567">
        <f t="shared" si="27"/>
        <v>0</v>
      </c>
      <c r="AA44" s="567">
        <f t="shared" si="27"/>
        <v>0</v>
      </c>
      <c r="AB44" s="567">
        <f t="shared" si="27"/>
        <v>0</v>
      </c>
      <c r="AC44" s="567">
        <f t="shared" si="27"/>
        <v>0</v>
      </c>
      <c r="AD44" s="567">
        <f t="shared" si="27"/>
        <v>0</v>
      </c>
      <c r="AE44" s="567">
        <f t="shared" si="27"/>
        <v>0</v>
      </c>
      <c r="AF44" s="567">
        <f t="shared" si="27"/>
        <v>0</v>
      </c>
      <c r="AG44" s="567">
        <f t="shared" si="27"/>
        <v>0</v>
      </c>
      <c r="AH44" s="567">
        <f>AH43+AG44</f>
        <v>0</v>
      </c>
      <c r="AK44" s="110"/>
      <c r="AM44" s="110"/>
      <c r="AO44" s="110"/>
      <c r="AQ44" s="110"/>
    </row>
    <row r="45" spans="1:43" x14ac:dyDescent="0.2">
      <c r="A45" s="30" t="s">
        <v>448</v>
      </c>
      <c r="B45" s="567">
        <f t="shared" ref="B45:AG45" si="28">ROUND(IF(B41-B44&gt;0,B41-B44,0),0)</f>
        <v>0</v>
      </c>
      <c r="C45" s="567">
        <f t="shared" si="28"/>
        <v>0</v>
      </c>
      <c r="D45" s="567">
        <f t="shared" si="28"/>
        <v>0</v>
      </c>
      <c r="E45" s="567">
        <f t="shared" si="28"/>
        <v>0</v>
      </c>
      <c r="F45" s="567">
        <f t="shared" si="28"/>
        <v>0</v>
      </c>
      <c r="G45" s="567">
        <f t="shared" si="28"/>
        <v>0</v>
      </c>
      <c r="H45" s="567">
        <f t="shared" si="28"/>
        <v>0</v>
      </c>
      <c r="I45" s="567">
        <f t="shared" si="28"/>
        <v>0</v>
      </c>
      <c r="J45" s="567">
        <f t="shared" si="28"/>
        <v>0</v>
      </c>
      <c r="K45" s="567">
        <f t="shared" si="28"/>
        <v>0</v>
      </c>
      <c r="L45" s="567">
        <f t="shared" si="28"/>
        <v>0</v>
      </c>
      <c r="M45" s="567">
        <f t="shared" si="28"/>
        <v>0</v>
      </c>
      <c r="N45" s="567">
        <f t="shared" si="28"/>
        <v>0</v>
      </c>
      <c r="O45" s="567">
        <f t="shared" si="28"/>
        <v>0</v>
      </c>
      <c r="P45" s="567">
        <f t="shared" si="28"/>
        <v>0</v>
      </c>
      <c r="Q45" s="567">
        <f t="shared" si="28"/>
        <v>0</v>
      </c>
      <c r="R45" s="567">
        <f t="shared" si="28"/>
        <v>0</v>
      </c>
      <c r="S45" s="567">
        <f t="shared" si="28"/>
        <v>0</v>
      </c>
      <c r="T45" s="567">
        <f t="shared" si="28"/>
        <v>0</v>
      </c>
      <c r="U45" s="567">
        <f t="shared" si="28"/>
        <v>0</v>
      </c>
      <c r="V45" s="567">
        <f t="shared" si="28"/>
        <v>0</v>
      </c>
      <c r="W45" s="567">
        <f t="shared" si="28"/>
        <v>0</v>
      </c>
      <c r="X45" s="567">
        <f t="shared" si="28"/>
        <v>0</v>
      </c>
      <c r="Y45" s="567">
        <f t="shared" si="28"/>
        <v>0</v>
      </c>
      <c r="Z45" s="567">
        <f t="shared" si="28"/>
        <v>0</v>
      </c>
      <c r="AA45" s="567">
        <f t="shared" si="28"/>
        <v>0</v>
      </c>
      <c r="AB45" s="567">
        <f t="shared" si="28"/>
        <v>0</v>
      </c>
      <c r="AC45" s="567">
        <f t="shared" si="28"/>
        <v>0</v>
      </c>
      <c r="AD45" s="567">
        <f t="shared" si="28"/>
        <v>0</v>
      </c>
      <c r="AE45" s="567">
        <f t="shared" si="28"/>
        <v>0</v>
      </c>
      <c r="AF45" s="567">
        <f t="shared" si="28"/>
        <v>0</v>
      </c>
      <c r="AG45" s="567">
        <f t="shared" si="28"/>
        <v>0</v>
      </c>
      <c r="AH45" s="567">
        <f>ROUND(IF(AH41-AH44&gt;0,AH41-AH44,0),0)</f>
        <v>0</v>
      </c>
      <c r="AK45" s="110"/>
      <c r="AM45" s="110"/>
      <c r="AO45" s="110"/>
      <c r="AQ45" s="110"/>
    </row>
    <row r="46" spans="1:43" x14ac:dyDescent="0.2">
      <c r="A46" s="60" t="s">
        <v>239</v>
      </c>
      <c r="B46" s="524"/>
      <c r="C46" s="524"/>
      <c r="D46" s="524"/>
      <c r="E46" s="524"/>
      <c r="F46" s="524"/>
      <c r="G46" s="524"/>
      <c r="H46" s="524"/>
      <c r="I46" s="524"/>
      <c r="J46" s="524"/>
      <c r="K46" s="524"/>
      <c r="L46" s="524"/>
      <c r="M46" s="524"/>
      <c r="N46" s="524"/>
      <c r="O46" s="524"/>
      <c r="P46" s="524"/>
      <c r="Q46" s="524"/>
      <c r="R46" s="524"/>
      <c r="S46" s="524"/>
      <c r="T46" s="524"/>
      <c r="U46" s="524"/>
      <c r="V46" s="524"/>
      <c r="W46" s="524"/>
      <c r="X46" s="524"/>
      <c r="Y46" s="524"/>
      <c r="Z46" s="524"/>
      <c r="AA46" s="524"/>
      <c r="AB46" s="524"/>
      <c r="AC46" s="524"/>
      <c r="AD46" s="524"/>
      <c r="AE46" s="524"/>
      <c r="AF46" s="524"/>
      <c r="AG46" s="524"/>
      <c r="AH46" s="524"/>
      <c r="AK46" s="110"/>
      <c r="AM46" s="110"/>
      <c r="AO46" s="110"/>
      <c r="AQ46" s="110"/>
    </row>
    <row r="47" spans="1:43" x14ac:dyDescent="0.2">
      <c r="A47" s="30" t="s">
        <v>444</v>
      </c>
      <c r="B47" s="567">
        <f>B99</f>
        <v>1995.56</v>
      </c>
      <c r="C47" s="567">
        <f t="shared" ref="C47:AH47" si="29">C99+B47</f>
        <v>2805</v>
      </c>
      <c r="D47" s="567">
        <f t="shared" si="29"/>
        <v>2805</v>
      </c>
      <c r="E47" s="567">
        <f t="shared" si="29"/>
        <v>2805</v>
      </c>
      <c r="F47" s="567">
        <f t="shared" si="29"/>
        <v>2805</v>
      </c>
      <c r="G47" s="567">
        <f t="shared" si="29"/>
        <v>2805</v>
      </c>
      <c r="H47" s="567">
        <f t="shared" si="29"/>
        <v>2805</v>
      </c>
      <c r="I47" s="567">
        <f t="shared" si="29"/>
        <v>2805</v>
      </c>
      <c r="J47" s="567">
        <f t="shared" si="29"/>
        <v>2805</v>
      </c>
      <c r="K47" s="567">
        <f t="shared" si="29"/>
        <v>2805</v>
      </c>
      <c r="L47" s="567">
        <f t="shared" si="29"/>
        <v>2805</v>
      </c>
      <c r="M47" s="567">
        <f t="shared" si="29"/>
        <v>2805</v>
      </c>
      <c r="N47" s="567">
        <f t="shared" si="29"/>
        <v>2805</v>
      </c>
      <c r="O47" s="567">
        <f t="shared" si="29"/>
        <v>2805</v>
      </c>
      <c r="P47" s="567">
        <f t="shared" si="29"/>
        <v>2805</v>
      </c>
      <c r="Q47" s="567">
        <f t="shared" si="29"/>
        <v>2805</v>
      </c>
      <c r="R47" s="567">
        <f t="shared" si="29"/>
        <v>2805</v>
      </c>
      <c r="S47" s="567">
        <f t="shared" si="29"/>
        <v>2805</v>
      </c>
      <c r="T47" s="567">
        <f t="shared" si="29"/>
        <v>2805</v>
      </c>
      <c r="U47" s="567">
        <f t="shared" si="29"/>
        <v>2805</v>
      </c>
      <c r="V47" s="567">
        <f t="shared" si="29"/>
        <v>2805</v>
      </c>
      <c r="W47" s="567">
        <f t="shared" si="29"/>
        <v>2805</v>
      </c>
      <c r="X47" s="567">
        <f t="shared" si="29"/>
        <v>2805</v>
      </c>
      <c r="Y47" s="567">
        <f t="shared" si="29"/>
        <v>2805</v>
      </c>
      <c r="Z47" s="567">
        <f t="shared" si="29"/>
        <v>2805</v>
      </c>
      <c r="AA47" s="567">
        <f t="shared" si="29"/>
        <v>2805</v>
      </c>
      <c r="AB47" s="567">
        <f t="shared" si="29"/>
        <v>2805</v>
      </c>
      <c r="AC47" s="567">
        <f t="shared" si="29"/>
        <v>2805</v>
      </c>
      <c r="AD47" s="567">
        <f t="shared" si="29"/>
        <v>2805</v>
      </c>
      <c r="AE47" s="567">
        <f t="shared" si="29"/>
        <v>2805</v>
      </c>
      <c r="AF47" s="567">
        <f t="shared" si="29"/>
        <v>2805</v>
      </c>
      <c r="AG47" s="567">
        <f t="shared" si="29"/>
        <v>2805</v>
      </c>
      <c r="AH47" s="567">
        <f t="shared" si="29"/>
        <v>2805</v>
      </c>
      <c r="AK47" s="110"/>
      <c r="AM47" s="110"/>
      <c r="AO47" s="110"/>
      <c r="AQ47" s="110"/>
    </row>
    <row r="48" spans="1:43" x14ac:dyDescent="0.2">
      <c r="A48" s="30" t="s">
        <v>445</v>
      </c>
      <c r="B48" s="568">
        <f>1/'Kopējie pieņēmumi'!$B$32</f>
        <v>0.1</v>
      </c>
      <c r="C48" s="568">
        <f>B48</f>
        <v>0.1</v>
      </c>
      <c r="D48" s="568">
        <f t="shared" ref="D48:AH48" si="30">C48</f>
        <v>0.1</v>
      </c>
      <c r="E48" s="568">
        <f t="shared" si="30"/>
        <v>0.1</v>
      </c>
      <c r="F48" s="568">
        <f t="shared" si="30"/>
        <v>0.1</v>
      </c>
      <c r="G48" s="568">
        <f t="shared" si="30"/>
        <v>0.1</v>
      </c>
      <c r="H48" s="568">
        <f t="shared" si="30"/>
        <v>0.1</v>
      </c>
      <c r="I48" s="568">
        <f t="shared" si="30"/>
        <v>0.1</v>
      </c>
      <c r="J48" s="568">
        <f t="shared" si="30"/>
        <v>0.1</v>
      </c>
      <c r="K48" s="568">
        <f t="shared" si="30"/>
        <v>0.1</v>
      </c>
      <c r="L48" s="568">
        <f t="shared" si="30"/>
        <v>0.1</v>
      </c>
      <c r="M48" s="568">
        <f t="shared" si="30"/>
        <v>0.1</v>
      </c>
      <c r="N48" s="568">
        <f t="shared" si="30"/>
        <v>0.1</v>
      </c>
      <c r="O48" s="568">
        <f t="shared" si="30"/>
        <v>0.1</v>
      </c>
      <c r="P48" s="568">
        <f t="shared" si="30"/>
        <v>0.1</v>
      </c>
      <c r="Q48" s="568">
        <f t="shared" si="30"/>
        <v>0.1</v>
      </c>
      <c r="R48" s="568">
        <f t="shared" si="30"/>
        <v>0.1</v>
      </c>
      <c r="S48" s="568">
        <f t="shared" si="30"/>
        <v>0.1</v>
      </c>
      <c r="T48" s="568">
        <f t="shared" si="30"/>
        <v>0.1</v>
      </c>
      <c r="U48" s="568">
        <f t="shared" si="30"/>
        <v>0.1</v>
      </c>
      <c r="V48" s="568">
        <f t="shared" si="30"/>
        <v>0.1</v>
      </c>
      <c r="W48" s="568">
        <f t="shared" si="30"/>
        <v>0.1</v>
      </c>
      <c r="X48" s="568">
        <f t="shared" si="30"/>
        <v>0.1</v>
      </c>
      <c r="Y48" s="568">
        <f t="shared" si="30"/>
        <v>0.1</v>
      </c>
      <c r="Z48" s="568">
        <f t="shared" si="30"/>
        <v>0.1</v>
      </c>
      <c r="AA48" s="568">
        <f t="shared" si="30"/>
        <v>0.1</v>
      </c>
      <c r="AB48" s="568">
        <f t="shared" si="30"/>
        <v>0.1</v>
      </c>
      <c r="AC48" s="568">
        <f t="shared" si="30"/>
        <v>0.1</v>
      </c>
      <c r="AD48" s="568">
        <f t="shared" si="30"/>
        <v>0.1</v>
      </c>
      <c r="AE48" s="568">
        <f t="shared" si="30"/>
        <v>0.1</v>
      </c>
      <c r="AF48" s="568">
        <f t="shared" si="30"/>
        <v>0.1</v>
      </c>
      <c r="AG48" s="568">
        <f t="shared" si="30"/>
        <v>0.1</v>
      </c>
      <c r="AH48" s="568">
        <f t="shared" si="30"/>
        <v>0.1</v>
      </c>
      <c r="AK48" s="110"/>
      <c r="AM48" s="110"/>
      <c r="AO48" s="110"/>
      <c r="AQ48" s="110"/>
    </row>
    <row r="49" spans="1:43" x14ac:dyDescent="0.2">
      <c r="A49" s="30" t="s">
        <v>446</v>
      </c>
      <c r="B49" s="524">
        <v>0</v>
      </c>
      <c r="C49" s="567">
        <f t="shared" ref="C49:AG49" si="31">IF(B51&gt;0,IF(C47-B47&gt;0,0,C48*C47),0)</f>
        <v>0</v>
      </c>
      <c r="D49" s="567">
        <f t="shared" si="31"/>
        <v>280.5</v>
      </c>
      <c r="E49" s="567">
        <f t="shared" si="31"/>
        <v>280.5</v>
      </c>
      <c r="F49" s="567">
        <f t="shared" si="31"/>
        <v>280.5</v>
      </c>
      <c r="G49" s="567">
        <f t="shared" si="31"/>
        <v>280.5</v>
      </c>
      <c r="H49" s="567">
        <f t="shared" si="31"/>
        <v>280.5</v>
      </c>
      <c r="I49" s="567">
        <f t="shared" si="31"/>
        <v>280.5</v>
      </c>
      <c r="J49" s="567">
        <f t="shared" si="31"/>
        <v>280.5</v>
      </c>
      <c r="K49" s="567">
        <f t="shared" si="31"/>
        <v>280.5</v>
      </c>
      <c r="L49" s="567">
        <f t="shared" si="31"/>
        <v>280.5</v>
      </c>
      <c r="M49" s="567">
        <f t="shared" si="31"/>
        <v>280.5</v>
      </c>
      <c r="N49" s="567">
        <f t="shared" si="31"/>
        <v>0</v>
      </c>
      <c r="O49" s="567">
        <f t="shared" si="31"/>
        <v>0</v>
      </c>
      <c r="P49" s="567">
        <f t="shared" si="31"/>
        <v>0</v>
      </c>
      <c r="Q49" s="567">
        <f t="shared" si="31"/>
        <v>0</v>
      </c>
      <c r="R49" s="567">
        <f t="shared" si="31"/>
        <v>0</v>
      </c>
      <c r="S49" s="567">
        <f t="shared" si="31"/>
        <v>0</v>
      </c>
      <c r="T49" s="567">
        <f t="shared" si="31"/>
        <v>0</v>
      </c>
      <c r="U49" s="567">
        <f t="shared" si="31"/>
        <v>0</v>
      </c>
      <c r="V49" s="567">
        <f t="shared" si="31"/>
        <v>0</v>
      </c>
      <c r="W49" s="567">
        <f t="shared" si="31"/>
        <v>0</v>
      </c>
      <c r="X49" s="567">
        <f t="shared" si="31"/>
        <v>0</v>
      </c>
      <c r="Y49" s="567">
        <f t="shared" si="31"/>
        <v>0</v>
      </c>
      <c r="Z49" s="567">
        <f t="shared" si="31"/>
        <v>0</v>
      </c>
      <c r="AA49" s="567">
        <f t="shared" si="31"/>
        <v>0</v>
      </c>
      <c r="AB49" s="567">
        <f t="shared" si="31"/>
        <v>0</v>
      </c>
      <c r="AC49" s="567">
        <f t="shared" si="31"/>
        <v>0</v>
      </c>
      <c r="AD49" s="567">
        <f t="shared" si="31"/>
        <v>0</v>
      </c>
      <c r="AE49" s="567">
        <f t="shared" si="31"/>
        <v>0</v>
      </c>
      <c r="AF49" s="567">
        <f t="shared" si="31"/>
        <v>0</v>
      </c>
      <c r="AG49" s="567">
        <f t="shared" si="31"/>
        <v>0</v>
      </c>
      <c r="AH49" s="567">
        <f>IF(AG51&gt;0,IF(AH47-AG47&gt;0,0,AH48*AH47),0)</f>
        <v>0</v>
      </c>
      <c r="AK49" s="110"/>
      <c r="AM49" s="110"/>
      <c r="AO49" s="110"/>
      <c r="AQ49" s="110"/>
    </row>
    <row r="50" spans="1:43" x14ac:dyDescent="0.2">
      <c r="A50" s="30" t="s">
        <v>447</v>
      </c>
      <c r="B50" s="567">
        <f>B49</f>
        <v>0</v>
      </c>
      <c r="C50" s="567">
        <f t="shared" ref="C50:AG50" si="32">C49+B50</f>
        <v>0</v>
      </c>
      <c r="D50" s="567">
        <f t="shared" si="32"/>
        <v>280.5</v>
      </c>
      <c r="E50" s="567">
        <f t="shared" si="32"/>
        <v>561</v>
      </c>
      <c r="F50" s="567">
        <f t="shared" si="32"/>
        <v>841.5</v>
      </c>
      <c r="G50" s="567">
        <f t="shared" si="32"/>
        <v>1122</v>
      </c>
      <c r="H50" s="567">
        <f t="shared" si="32"/>
        <v>1402.5</v>
      </c>
      <c r="I50" s="567">
        <f t="shared" si="32"/>
        <v>1683</v>
      </c>
      <c r="J50" s="567">
        <f t="shared" si="32"/>
        <v>1963.5</v>
      </c>
      <c r="K50" s="567">
        <f t="shared" si="32"/>
        <v>2244</v>
      </c>
      <c r="L50" s="567">
        <f t="shared" si="32"/>
        <v>2524.5</v>
      </c>
      <c r="M50" s="567">
        <f t="shared" si="32"/>
        <v>2805</v>
      </c>
      <c r="N50" s="567">
        <f t="shared" si="32"/>
        <v>2805</v>
      </c>
      <c r="O50" s="567">
        <f t="shared" si="32"/>
        <v>2805</v>
      </c>
      <c r="P50" s="567">
        <f t="shared" si="32"/>
        <v>2805</v>
      </c>
      <c r="Q50" s="567">
        <f t="shared" si="32"/>
        <v>2805</v>
      </c>
      <c r="R50" s="567">
        <f t="shared" si="32"/>
        <v>2805</v>
      </c>
      <c r="S50" s="567">
        <f t="shared" si="32"/>
        <v>2805</v>
      </c>
      <c r="T50" s="567">
        <f t="shared" si="32"/>
        <v>2805</v>
      </c>
      <c r="U50" s="567">
        <f t="shared" si="32"/>
        <v>2805</v>
      </c>
      <c r="V50" s="567">
        <f t="shared" si="32"/>
        <v>2805</v>
      </c>
      <c r="W50" s="567">
        <f t="shared" si="32"/>
        <v>2805</v>
      </c>
      <c r="X50" s="567">
        <f t="shared" si="32"/>
        <v>2805</v>
      </c>
      <c r="Y50" s="567">
        <f t="shared" si="32"/>
        <v>2805</v>
      </c>
      <c r="Z50" s="567">
        <f t="shared" si="32"/>
        <v>2805</v>
      </c>
      <c r="AA50" s="567">
        <f t="shared" si="32"/>
        <v>2805</v>
      </c>
      <c r="AB50" s="567">
        <f t="shared" si="32"/>
        <v>2805</v>
      </c>
      <c r="AC50" s="567">
        <f t="shared" si="32"/>
        <v>2805</v>
      </c>
      <c r="AD50" s="567">
        <f t="shared" si="32"/>
        <v>2805</v>
      </c>
      <c r="AE50" s="567">
        <f t="shared" si="32"/>
        <v>2805</v>
      </c>
      <c r="AF50" s="567">
        <f t="shared" si="32"/>
        <v>2805</v>
      </c>
      <c r="AG50" s="567">
        <f t="shared" si="32"/>
        <v>2805</v>
      </c>
      <c r="AH50" s="567">
        <f>AH49+AG50</f>
        <v>2805</v>
      </c>
      <c r="AK50" s="110"/>
      <c r="AM50" s="110"/>
      <c r="AO50" s="110"/>
      <c r="AQ50" s="110"/>
    </row>
    <row r="51" spans="1:43" x14ac:dyDescent="0.2">
      <c r="A51" s="30" t="s">
        <v>448</v>
      </c>
      <c r="B51" s="567">
        <f t="shared" ref="B51:AG51" si="33">ROUND(IF(B47-B50&gt;0,B47-B50,0),0)</f>
        <v>1996</v>
      </c>
      <c r="C51" s="567">
        <f t="shared" si="33"/>
        <v>2805</v>
      </c>
      <c r="D51" s="567">
        <f t="shared" si="33"/>
        <v>2525</v>
      </c>
      <c r="E51" s="567">
        <f t="shared" si="33"/>
        <v>2244</v>
      </c>
      <c r="F51" s="567">
        <f t="shared" si="33"/>
        <v>1964</v>
      </c>
      <c r="G51" s="567">
        <f t="shared" si="33"/>
        <v>1683</v>
      </c>
      <c r="H51" s="567">
        <f t="shared" si="33"/>
        <v>1403</v>
      </c>
      <c r="I51" s="567">
        <f t="shared" si="33"/>
        <v>1122</v>
      </c>
      <c r="J51" s="567">
        <f t="shared" si="33"/>
        <v>842</v>
      </c>
      <c r="K51" s="567">
        <f t="shared" si="33"/>
        <v>561</v>
      </c>
      <c r="L51" s="567">
        <f t="shared" si="33"/>
        <v>281</v>
      </c>
      <c r="M51" s="567">
        <f t="shared" si="33"/>
        <v>0</v>
      </c>
      <c r="N51" s="567">
        <f t="shared" si="33"/>
        <v>0</v>
      </c>
      <c r="O51" s="567">
        <f t="shared" si="33"/>
        <v>0</v>
      </c>
      <c r="P51" s="567">
        <f t="shared" si="33"/>
        <v>0</v>
      </c>
      <c r="Q51" s="567">
        <f t="shared" si="33"/>
        <v>0</v>
      </c>
      <c r="R51" s="567">
        <f t="shared" si="33"/>
        <v>0</v>
      </c>
      <c r="S51" s="567">
        <f t="shared" si="33"/>
        <v>0</v>
      </c>
      <c r="T51" s="567">
        <f t="shared" si="33"/>
        <v>0</v>
      </c>
      <c r="U51" s="567">
        <f t="shared" si="33"/>
        <v>0</v>
      </c>
      <c r="V51" s="567">
        <f t="shared" si="33"/>
        <v>0</v>
      </c>
      <c r="W51" s="567">
        <f t="shared" si="33"/>
        <v>0</v>
      </c>
      <c r="X51" s="567">
        <f t="shared" si="33"/>
        <v>0</v>
      </c>
      <c r="Y51" s="567">
        <f t="shared" si="33"/>
        <v>0</v>
      </c>
      <c r="Z51" s="567">
        <f t="shared" si="33"/>
        <v>0</v>
      </c>
      <c r="AA51" s="567">
        <f t="shared" si="33"/>
        <v>0</v>
      </c>
      <c r="AB51" s="567">
        <f t="shared" si="33"/>
        <v>0</v>
      </c>
      <c r="AC51" s="567">
        <f t="shared" si="33"/>
        <v>0</v>
      </c>
      <c r="AD51" s="567">
        <f t="shared" si="33"/>
        <v>0</v>
      </c>
      <c r="AE51" s="567">
        <f t="shared" si="33"/>
        <v>0</v>
      </c>
      <c r="AF51" s="567">
        <f t="shared" si="33"/>
        <v>0</v>
      </c>
      <c r="AG51" s="567">
        <f t="shared" si="33"/>
        <v>0</v>
      </c>
      <c r="AH51" s="567">
        <f>ROUND(IF(AH47-AH50&gt;0,AH47-AH50,0),0)</f>
        <v>0</v>
      </c>
      <c r="AK51" s="110"/>
      <c r="AM51" s="110"/>
      <c r="AO51" s="110"/>
      <c r="AQ51" s="110"/>
    </row>
    <row r="52" spans="1:43" x14ac:dyDescent="0.2">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K52" s="110"/>
      <c r="AM52" s="110"/>
      <c r="AO52" s="110"/>
      <c r="AQ52" s="110"/>
    </row>
    <row r="53" spans="1:43" x14ac:dyDescent="0.2">
      <c r="A53" s="30"/>
      <c r="B53" s="96">
        <f>B6</f>
        <v>2017</v>
      </c>
      <c r="C53" s="96">
        <f t="shared" ref="C53:AH53" si="34">C6</f>
        <v>2018</v>
      </c>
      <c r="D53" s="96">
        <f t="shared" si="34"/>
        <v>2019</v>
      </c>
      <c r="E53" s="96">
        <f t="shared" si="34"/>
        <v>2020</v>
      </c>
      <c r="F53" s="96">
        <f t="shared" si="34"/>
        <v>2021</v>
      </c>
      <c r="G53" s="96">
        <f t="shared" si="34"/>
        <v>2022</v>
      </c>
      <c r="H53" s="96">
        <f t="shared" si="34"/>
        <v>2023</v>
      </c>
      <c r="I53" s="96">
        <f t="shared" si="34"/>
        <v>2024</v>
      </c>
      <c r="J53" s="96">
        <f t="shared" si="34"/>
        <v>2025</v>
      </c>
      <c r="K53" s="96">
        <f t="shared" si="34"/>
        <v>2026</v>
      </c>
      <c r="L53" s="96">
        <f t="shared" si="34"/>
        <v>2027</v>
      </c>
      <c r="M53" s="96">
        <f t="shared" si="34"/>
        <v>2028</v>
      </c>
      <c r="N53" s="96">
        <f t="shared" si="34"/>
        <v>2029</v>
      </c>
      <c r="O53" s="96">
        <f t="shared" si="34"/>
        <v>2030</v>
      </c>
      <c r="P53" s="96">
        <f t="shared" si="34"/>
        <v>2031</v>
      </c>
      <c r="Q53" s="96">
        <f t="shared" si="34"/>
        <v>2032</v>
      </c>
      <c r="R53" s="96">
        <f t="shared" si="34"/>
        <v>2033</v>
      </c>
      <c r="S53" s="96">
        <f t="shared" si="34"/>
        <v>2034</v>
      </c>
      <c r="T53" s="96">
        <f t="shared" si="34"/>
        <v>2035</v>
      </c>
      <c r="U53" s="96">
        <f t="shared" si="34"/>
        <v>2036</v>
      </c>
      <c r="V53" s="96">
        <f t="shared" si="34"/>
        <v>2037</v>
      </c>
      <c r="W53" s="96">
        <f t="shared" si="34"/>
        <v>2038</v>
      </c>
      <c r="X53" s="96">
        <f t="shared" si="34"/>
        <v>2039</v>
      </c>
      <c r="Y53" s="96">
        <f t="shared" si="34"/>
        <v>2040</v>
      </c>
      <c r="Z53" s="96">
        <f t="shared" si="34"/>
        <v>2041</v>
      </c>
      <c r="AA53" s="96">
        <f t="shared" si="34"/>
        <v>2042</v>
      </c>
      <c r="AB53" s="96">
        <f t="shared" si="34"/>
        <v>2043</v>
      </c>
      <c r="AC53" s="96">
        <f t="shared" si="34"/>
        <v>2044</v>
      </c>
      <c r="AD53" s="96">
        <f t="shared" si="34"/>
        <v>2045</v>
      </c>
      <c r="AE53" s="96">
        <f t="shared" si="34"/>
        <v>2046</v>
      </c>
      <c r="AF53" s="96">
        <f t="shared" si="34"/>
        <v>2047</v>
      </c>
      <c r="AG53" s="96">
        <f t="shared" si="34"/>
        <v>2048</v>
      </c>
      <c r="AH53" s="96">
        <f t="shared" si="34"/>
        <v>2049</v>
      </c>
      <c r="AK53" s="110"/>
      <c r="AM53" s="110"/>
      <c r="AO53" s="110"/>
      <c r="AQ53" s="110"/>
    </row>
    <row r="54" spans="1:43" x14ac:dyDescent="0.2">
      <c r="A54" s="626" t="s">
        <v>449</v>
      </c>
      <c r="B54" s="624"/>
      <c r="C54" s="624"/>
      <c r="D54" s="624"/>
      <c r="E54" s="624"/>
      <c r="F54" s="624"/>
      <c r="G54" s="624"/>
      <c r="H54" s="624"/>
      <c r="I54" s="624"/>
      <c r="J54" s="624"/>
      <c r="K54" s="624"/>
      <c r="L54" s="624"/>
      <c r="M54" s="624"/>
      <c r="N54" s="624"/>
      <c r="O54" s="624"/>
      <c r="P54" s="624"/>
      <c r="Q54" s="624"/>
      <c r="R54" s="624"/>
      <c r="S54" s="624"/>
      <c r="T54" s="624"/>
      <c r="U54" s="624"/>
      <c r="V54" s="624"/>
      <c r="W54" s="624"/>
      <c r="X54" s="624"/>
      <c r="Y54" s="624"/>
      <c r="Z54" s="624"/>
      <c r="AA54" s="624"/>
      <c r="AB54" s="624"/>
      <c r="AC54" s="624"/>
      <c r="AD54" s="624"/>
      <c r="AE54" s="624"/>
      <c r="AF54" s="624"/>
      <c r="AG54" s="624"/>
      <c r="AH54" s="624"/>
      <c r="AK54" s="110"/>
      <c r="AM54" s="110"/>
      <c r="AO54" s="110"/>
      <c r="AQ54" s="110"/>
    </row>
    <row r="55" spans="1:43" x14ac:dyDescent="0.2">
      <c r="A55" s="60" t="s">
        <v>237</v>
      </c>
      <c r="B55" s="566"/>
      <c r="C55" s="566"/>
      <c r="D55" s="566"/>
      <c r="E55" s="566"/>
      <c r="F55" s="566"/>
      <c r="G55" s="566"/>
      <c r="H55" s="566"/>
      <c r="I55" s="566"/>
      <c r="J55" s="566"/>
      <c r="K55" s="566"/>
      <c r="L55" s="566"/>
      <c r="M55" s="566"/>
      <c r="N55" s="566"/>
      <c r="O55" s="566"/>
      <c r="P55" s="566"/>
      <c r="Q55" s="566"/>
      <c r="R55" s="566"/>
      <c r="S55" s="566"/>
      <c r="T55" s="566"/>
      <c r="U55" s="566"/>
      <c r="V55" s="566"/>
      <c r="W55" s="566"/>
      <c r="X55" s="566"/>
      <c r="Y55" s="566"/>
      <c r="Z55" s="566"/>
      <c r="AA55" s="566"/>
      <c r="AB55" s="566"/>
      <c r="AC55" s="566"/>
      <c r="AD55" s="566"/>
      <c r="AE55" s="566"/>
      <c r="AF55" s="566"/>
      <c r="AG55" s="566"/>
      <c r="AH55" s="566"/>
      <c r="AK55" s="110"/>
      <c r="AM55" s="110"/>
      <c r="AO55" s="110"/>
      <c r="AQ55" s="110"/>
    </row>
    <row r="56" spans="1:43" x14ac:dyDescent="0.2">
      <c r="A56" s="30" t="s">
        <v>444</v>
      </c>
      <c r="B56" s="567">
        <f>B102</f>
        <v>525487.84</v>
      </c>
      <c r="C56" s="567">
        <f t="shared" ref="C56:AH56" si="35">C102+B56</f>
        <v>825158.88238887559</v>
      </c>
      <c r="D56" s="567">
        <f t="shared" si="35"/>
        <v>1336623.8823888756</v>
      </c>
      <c r="E56" s="567">
        <f t="shared" si="35"/>
        <v>1336623.8823888756</v>
      </c>
      <c r="F56" s="567">
        <f t="shared" si="35"/>
        <v>1336623.8823888756</v>
      </c>
      <c r="G56" s="567">
        <f t="shared" si="35"/>
        <v>1336623.8823888756</v>
      </c>
      <c r="H56" s="567">
        <f t="shared" si="35"/>
        <v>1336623.8823888756</v>
      </c>
      <c r="I56" s="567">
        <f t="shared" si="35"/>
        <v>1336623.8823888756</v>
      </c>
      <c r="J56" s="567">
        <f t="shared" si="35"/>
        <v>1336623.8823888756</v>
      </c>
      <c r="K56" s="567">
        <f t="shared" si="35"/>
        <v>1336623.8823888756</v>
      </c>
      <c r="L56" s="567">
        <f t="shared" si="35"/>
        <v>1336623.8823888756</v>
      </c>
      <c r="M56" s="567">
        <f t="shared" si="35"/>
        <v>1336623.8823888756</v>
      </c>
      <c r="N56" s="567">
        <f t="shared" si="35"/>
        <v>1336623.8823888756</v>
      </c>
      <c r="O56" s="567">
        <f t="shared" si="35"/>
        <v>1336623.8823888756</v>
      </c>
      <c r="P56" s="567">
        <f t="shared" si="35"/>
        <v>1336623.8823888756</v>
      </c>
      <c r="Q56" s="567">
        <f t="shared" si="35"/>
        <v>1336623.8823888756</v>
      </c>
      <c r="R56" s="567">
        <f t="shared" si="35"/>
        <v>1336623.8823888756</v>
      </c>
      <c r="S56" s="567">
        <f t="shared" si="35"/>
        <v>1336623.8823888756</v>
      </c>
      <c r="T56" s="567">
        <f t="shared" si="35"/>
        <v>1336623.8823888756</v>
      </c>
      <c r="U56" s="567">
        <f t="shared" si="35"/>
        <v>1336623.8823888756</v>
      </c>
      <c r="V56" s="567">
        <f t="shared" si="35"/>
        <v>1336623.8823888756</v>
      </c>
      <c r="W56" s="567">
        <f t="shared" si="35"/>
        <v>1336623.8823888756</v>
      </c>
      <c r="X56" s="567">
        <f t="shared" si="35"/>
        <v>1336623.8823888756</v>
      </c>
      <c r="Y56" s="567">
        <f t="shared" si="35"/>
        <v>1336623.8823888756</v>
      </c>
      <c r="Z56" s="567">
        <f t="shared" si="35"/>
        <v>1336623.8823888756</v>
      </c>
      <c r="AA56" s="567">
        <f t="shared" si="35"/>
        <v>1336623.8823888756</v>
      </c>
      <c r="AB56" s="567">
        <f t="shared" si="35"/>
        <v>1336623.8823888756</v>
      </c>
      <c r="AC56" s="567">
        <f t="shared" si="35"/>
        <v>1336623.8823888756</v>
      </c>
      <c r="AD56" s="567">
        <f t="shared" si="35"/>
        <v>1336623.8823888756</v>
      </c>
      <c r="AE56" s="567">
        <f t="shared" si="35"/>
        <v>1336623.8823888756</v>
      </c>
      <c r="AF56" s="567">
        <f t="shared" si="35"/>
        <v>1336623.8823888756</v>
      </c>
      <c r="AG56" s="567">
        <f t="shared" si="35"/>
        <v>1336623.8823888756</v>
      </c>
      <c r="AH56" s="567">
        <f t="shared" si="35"/>
        <v>1336623.8823888756</v>
      </c>
      <c r="AK56" s="110"/>
      <c r="AM56" s="110"/>
      <c r="AO56" s="110"/>
      <c r="AQ56" s="110"/>
    </row>
    <row r="57" spans="1:43" x14ac:dyDescent="0.2">
      <c r="A57" s="30" t="s">
        <v>445</v>
      </c>
      <c r="B57" s="568">
        <f>1/'Kopējie pieņēmumi'!$B$30</f>
        <v>0.02</v>
      </c>
      <c r="C57" s="568">
        <f>B57</f>
        <v>0.02</v>
      </c>
      <c r="D57" s="568">
        <f t="shared" ref="D57:AH57" si="36">C57</f>
        <v>0.02</v>
      </c>
      <c r="E57" s="568">
        <f t="shared" si="36"/>
        <v>0.02</v>
      </c>
      <c r="F57" s="568">
        <f t="shared" si="36"/>
        <v>0.02</v>
      </c>
      <c r="G57" s="568">
        <f t="shared" si="36"/>
        <v>0.02</v>
      </c>
      <c r="H57" s="568">
        <f t="shared" si="36"/>
        <v>0.02</v>
      </c>
      <c r="I57" s="568">
        <f t="shared" si="36"/>
        <v>0.02</v>
      </c>
      <c r="J57" s="568">
        <f t="shared" si="36"/>
        <v>0.02</v>
      </c>
      <c r="K57" s="568">
        <f t="shared" si="36"/>
        <v>0.02</v>
      </c>
      <c r="L57" s="568">
        <f t="shared" si="36"/>
        <v>0.02</v>
      </c>
      <c r="M57" s="568">
        <f t="shared" si="36"/>
        <v>0.02</v>
      </c>
      <c r="N57" s="568">
        <f t="shared" si="36"/>
        <v>0.02</v>
      </c>
      <c r="O57" s="568">
        <f t="shared" si="36"/>
        <v>0.02</v>
      </c>
      <c r="P57" s="568">
        <f t="shared" si="36"/>
        <v>0.02</v>
      </c>
      <c r="Q57" s="568">
        <f t="shared" si="36"/>
        <v>0.02</v>
      </c>
      <c r="R57" s="568">
        <f t="shared" si="36"/>
        <v>0.02</v>
      </c>
      <c r="S57" s="568">
        <f t="shared" si="36"/>
        <v>0.02</v>
      </c>
      <c r="T57" s="568">
        <f t="shared" si="36"/>
        <v>0.02</v>
      </c>
      <c r="U57" s="568">
        <f t="shared" si="36"/>
        <v>0.02</v>
      </c>
      <c r="V57" s="568">
        <f t="shared" si="36"/>
        <v>0.02</v>
      </c>
      <c r="W57" s="568">
        <f t="shared" si="36"/>
        <v>0.02</v>
      </c>
      <c r="X57" s="568">
        <f t="shared" si="36"/>
        <v>0.02</v>
      </c>
      <c r="Y57" s="568">
        <f t="shared" si="36"/>
        <v>0.02</v>
      </c>
      <c r="Z57" s="568">
        <f t="shared" si="36"/>
        <v>0.02</v>
      </c>
      <c r="AA57" s="568">
        <f t="shared" si="36"/>
        <v>0.02</v>
      </c>
      <c r="AB57" s="568">
        <f t="shared" si="36"/>
        <v>0.02</v>
      </c>
      <c r="AC57" s="568">
        <f t="shared" si="36"/>
        <v>0.02</v>
      </c>
      <c r="AD57" s="568">
        <f t="shared" si="36"/>
        <v>0.02</v>
      </c>
      <c r="AE57" s="568">
        <f t="shared" si="36"/>
        <v>0.02</v>
      </c>
      <c r="AF57" s="568">
        <f t="shared" si="36"/>
        <v>0.02</v>
      </c>
      <c r="AG57" s="568">
        <f t="shared" si="36"/>
        <v>0.02</v>
      </c>
      <c r="AH57" s="568">
        <f t="shared" si="36"/>
        <v>0.02</v>
      </c>
      <c r="AK57" s="110"/>
      <c r="AM57" s="110"/>
      <c r="AO57" s="110"/>
      <c r="AQ57" s="110"/>
    </row>
    <row r="58" spans="1:43" x14ac:dyDescent="0.2">
      <c r="A58" s="30" t="s">
        <v>446</v>
      </c>
      <c r="B58" s="524">
        <v>0</v>
      </c>
      <c r="C58" s="567">
        <f t="shared" ref="C58:AG58" si="37">IF(B60&gt;0,IF(C56-B56&gt;0,0,C57*C56),0)</f>
        <v>0</v>
      </c>
      <c r="D58" s="567">
        <f t="shared" si="37"/>
        <v>0</v>
      </c>
      <c r="E58" s="567">
        <f t="shared" si="37"/>
        <v>26732.477647777512</v>
      </c>
      <c r="F58" s="567">
        <f t="shared" si="37"/>
        <v>26732.477647777512</v>
      </c>
      <c r="G58" s="567">
        <f t="shared" si="37"/>
        <v>26732.477647777512</v>
      </c>
      <c r="H58" s="567">
        <f t="shared" si="37"/>
        <v>26732.477647777512</v>
      </c>
      <c r="I58" s="567">
        <f t="shared" si="37"/>
        <v>26732.477647777512</v>
      </c>
      <c r="J58" s="567">
        <f t="shared" si="37"/>
        <v>26732.477647777512</v>
      </c>
      <c r="K58" s="567">
        <f t="shared" si="37"/>
        <v>26732.477647777512</v>
      </c>
      <c r="L58" s="567">
        <f t="shared" si="37"/>
        <v>26732.477647777512</v>
      </c>
      <c r="M58" s="567">
        <f t="shared" si="37"/>
        <v>26732.477647777512</v>
      </c>
      <c r="N58" s="567">
        <f t="shared" si="37"/>
        <v>26732.477647777512</v>
      </c>
      <c r="O58" s="567">
        <f t="shared" si="37"/>
        <v>26732.477647777512</v>
      </c>
      <c r="P58" s="567">
        <f t="shared" si="37"/>
        <v>26732.477647777512</v>
      </c>
      <c r="Q58" s="567">
        <f t="shared" si="37"/>
        <v>26732.477647777512</v>
      </c>
      <c r="R58" s="567">
        <f t="shared" si="37"/>
        <v>26732.477647777512</v>
      </c>
      <c r="S58" s="567">
        <f t="shared" si="37"/>
        <v>26732.477647777512</v>
      </c>
      <c r="T58" s="567">
        <f t="shared" si="37"/>
        <v>26732.477647777512</v>
      </c>
      <c r="U58" s="567">
        <f t="shared" si="37"/>
        <v>26732.477647777512</v>
      </c>
      <c r="V58" s="567">
        <f t="shared" si="37"/>
        <v>26732.477647777512</v>
      </c>
      <c r="W58" s="567">
        <f t="shared" si="37"/>
        <v>26732.477647777512</v>
      </c>
      <c r="X58" s="567">
        <f t="shared" si="37"/>
        <v>26732.477647777512</v>
      </c>
      <c r="Y58" s="567">
        <f t="shared" si="37"/>
        <v>26732.477647777512</v>
      </c>
      <c r="Z58" s="567">
        <f t="shared" si="37"/>
        <v>26732.477647777512</v>
      </c>
      <c r="AA58" s="567">
        <f t="shared" si="37"/>
        <v>26732.477647777512</v>
      </c>
      <c r="AB58" s="567">
        <f t="shared" si="37"/>
        <v>26732.477647777512</v>
      </c>
      <c r="AC58" s="567">
        <f t="shared" si="37"/>
        <v>26732.477647777512</v>
      </c>
      <c r="AD58" s="567">
        <f t="shared" si="37"/>
        <v>26732.477647777512</v>
      </c>
      <c r="AE58" s="567">
        <f t="shared" si="37"/>
        <v>26732.477647777512</v>
      </c>
      <c r="AF58" s="567">
        <f t="shared" si="37"/>
        <v>26732.477647777512</v>
      </c>
      <c r="AG58" s="567">
        <f t="shared" si="37"/>
        <v>26732.477647777512</v>
      </c>
      <c r="AH58" s="567">
        <f>IF(AG60&gt;0,IF(AH56-AG56&gt;0,0,AH57*AH56),0)</f>
        <v>26732.477647777512</v>
      </c>
      <c r="AK58" s="110"/>
      <c r="AM58" s="110"/>
      <c r="AO58" s="110"/>
      <c r="AQ58" s="110"/>
    </row>
    <row r="59" spans="1:43" x14ac:dyDescent="0.2">
      <c r="A59" s="30" t="s">
        <v>447</v>
      </c>
      <c r="B59" s="567">
        <f>B58</f>
        <v>0</v>
      </c>
      <c r="C59" s="567">
        <f t="shared" ref="C59:AG59" si="38">C58+B59</f>
        <v>0</v>
      </c>
      <c r="D59" s="567">
        <f t="shared" si="38"/>
        <v>0</v>
      </c>
      <c r="E59" s="567">
        <f t="shared" si="38"/>
        <v>26732.477647777512</v>
      </c>
      <c r="F59" s="567">
        <f t="shared" si="38"/>
        <v>53464.955295555024</v>
      </c>
      <c r="G59" s="567">
        <f t="shared" si="38"/>
        <v>80197.432943332533</v>
      </c>
      <c r="H59" s="567">
        <f t="shared" si="38"/>
        <v>106929.91059111005</v>
      </c>
      <c r="I59" s="567">
        <f t="shared" si="38"/>
        <v>133662.38823888756</v>
      </c>
      <c r="J59" s="567">
        <f t="shared" si="38"/>
        <v>160394.86588666507</v>
      </c>
      <c r="K59" s="567">
        <f t="shared" si="38"/>
        <v>187127.34353444257</v>
      </c>
      <c r="L59" s="567">
        <f t="shared" si="38"/>
        <v>213859.82118222007</v>
      </c>
      <c r="M59" s="567">
        <f t="shared" si="38"/>
        <v>240592.29882999757</v>
      </c>
      <c r="N59" s="567">
        <f t="shared" si="38"/>
        <v>267324.77647777507</v>
      </c>
      <c r="O59" s="567">
        <f t="shared" si="38"/>
        <v>294057.2541255526</v>
      </c>
      <c r="P59" s="567">
        <f t="shared" si="38"/>
        <v>320789.73177333013</v>
      </c>
      <c r="Q59" s="567">
        <f t="shared" si="38"/>
        <v>347522.20942110766</v>
      </c>
      <c r="R59" s="567">
        <f t="shared" si="38"/>
        <v>374254.68706888519</v>
      </c>
      <c r="S59" s="567">
        <f t="shared" si="38"/>
        <v>400987.16471666272</v>
      </c>
      <c r="T59" s="567">
        <f t="shared" si="38"/>
        <v>427719.64236444025</v>
      </c>
      <c r="U59" s="567">
        <f t="shared" si="38"/>
        <v>454452.12001221778</v>
      </c>
      <c r="V59" s="567">
        <f t="shared" si="38"/>
        <v>481184.59765999531</v>
      </c>
      <c r="W59" s="567">
        <f t="shared" si="38"/>
        <v>507917.07530777284</v>
      </c>
      <c r="X59" s="567">
        <f t="shared" si="38"/>
        <v>534649.55295555037</v>
      </c>
      <c r="Y59" s="567">
        <f t="shared" si="38"/>
        <v>561382.0306033279</v>
      </c>
      <c r="Z59" s="567">
        <f t="shared" si="38"/>
        <v>588114.50825110544</v>
      </c>
      <c r="AA59" s="567">
        <f t="shared" si="38"/>
        <v>614846.98589888297</v>
      </c>
      <c r="AB59" s="567">
        <f t="shared" si="38"/>
        <v>641579.4635466605</v>
      </c>
      <c r="AC59" s="567">
        <f t="shared" si="38"/>
        <v>668311.94119443803</v>
      </c>
      <c r="AD59" s="567">
        <f t="shared" si="38"/>
        <v>695044.41884221556</v>
      </c>
      <c r="AE59" s="567">
        <f t="shared" si="38"/>
        <v>721776.89648999309</v>
      </c>
      <c r="AF59" s="567">
        <f t="shared" si="38"/>
        <v>748509.37413777062</v>
      </c>
      <c r="AG59" s="567">
        <f t="shared" si="38"/>
        <v>775241.85178554815</v>
      </c>
      <c r="AH59" s="567">
        <f>AH58+AG59</f>
        <v>801974.32943332568</v>
      </c>
      <c r="AK59" s="110"/>
      <c r="AM59" s="110"/>
      <c r="AO59" s="110"/>
      <c r="AQ59" s="110"/>
    </row>
    <row r="60" spans="1:43" x14ac:dyDescent="0.2">
      <c r="A60" s="30" t="s">
        <v>448</v>
      </c>
      <c r="B60" s="567">
        <f>ROUND(IF(B56-B59&gt;0,B56-B59,0),4)</f>
        <v>525487.84</v>
      </c>
      <c r="C60" s="567">
        <f>ROUND(IF(C56-C59&gt;0,C56-C59,0),4)</f>
        <v>825158.8824</v>
      </c>
      <c r="D60" s="567">
        <f t="shared" ref="D60:AH60" si="39">ROUND(IF(D56-D59&gt;0,D56-D59,0),4)</f>
        <v>1336623.8824</v>
      </c>
      <c r="E60" s="567">
        <f t="shared" si="39"/>
        <v>1309891.4047000001</v>
      </c>
      <c r="F60" s="567">
        <f t="shared" si="39"/>
        <v>1283158.9271</v>
      </c>
      <c r="G60" s="567">
        <f t="shared" si="39"/>
        <v>1256426.4494</v>
      </c>
      <c r="H60" s="567">
        <f t="shared" si="39"/>
        <v>1229693.9717999999</v>
      </c>
      <c r="I60" s="567">
        <f t="shared" si="39"/>
        <v>1202961.4941</v>
      </c>
      <c r="J60" s="567">
        <f t="shared" si="39"/>
        <v>1176229.0164999999</v>
      </c>
      <c r="K60" s="567">
        <f t="shared" si="39"/>
        <v>1149496.5389</v>
      </c>
      <c r="L60" s="567">
        <f t="shared" si="39"/>
        <v>1122764.0612000001</v>
      </c>
      <c r="M60" s="567">
        <f t="shared" si="39"/>
        <v>1096031.5836</v>
      </c>
      <c r="N60" s="567">
        <f t="shared" si="39"/>
        <v>1069299.1059000001</v>
      </c>
      <c r="O60" s="567">
        <f t="shared" si="39"/>
        <v>1042566.6283</v>
      </c>
      <c r="P60" s="567">
        <f t="shared" si="39"/>
        <v>1015834.1506000001</v>
      </c>
      <c r="Q60" s="567">
        <f t="shared" si="39"/>
        <v>989101.67299999995</v>
      </c>
      <c r="R60" s="567">
        <f t="shared" si="39"/>
        <v>962369.19530000002</v>
      </c>
      <c r="S60" s="567">
        <f t="shared" si="39"/>
        <v>935636.71770000004</v>
      </c>
      <c r="T60" s="567">
        <f t="shared" si="39"/>
        <v>908904.24</v>
      </c>
      <c r="U60" s="567">
        <f t="shared" si="39"/>
        <v>882171.76240000001</v>
      </c>
      <c r="V60" s="567">
        <f t="shared" si="39"/>
        <v>855439.28469999996</v>
      </c>
      <c r="W60" s="567">
        <f t="shared" si="39"/>
        <v>828706.80709999998</v>
      </c>
      <c r="X60" s="567">
        <f t="shared" si="39"/>
        <v>801974.32940000005</v>
      </c>
      <c r="Y60" s="567">
        <f t="shared" si="39"/>
        <v>775241.85179999995</v>
      </c>
      <c r="Z60" s="567">
        <f t="shared" si="39"/>
        <v>748509.37410000002</v>
      </c>
      <c r="AA60" s="567">
        <f t="shared" si="39"/>
        <v>721776.89650000003</v>
      </c>
      <c r="AB60" s="567">
        <f t="shared" si="39"/>
        <v>695044.41879999998</v>
      </c>
      <c r="AC60" s="567">
        <f t="shared" si="39"/>
        <v>668311.9412</v>
      </c>
      <c r="AD60" s="567">
        <f t="shared" si="39"/>
        <v>641579.46349999995</v>
      </c>
      <c r="AE60" s="567">
        <f t="shared" si="39"/>
        <v>614846.98589999997</v>
      </c>
      <c r="AF60" s="567">
        <f t="shared" si="39"/>
        <v>588114.50829999999</v>
      </c>
      <c r="AG60" s="567">
        <f t="shared" si="39"/>
        <v>561382.03060000006</v>
      </c>
      <c r="AH60" s="567">
        <f t="shared" si="39"/>
        <v>534649.55299999996</v>
      </c>
      <c r="AK60" s="110"/>
      <c r="AM60" s="110"/>
      <c r="AO60" s="110"/>
      <c r="AQ60" s="110"/>
    </row>
    <row r="61" spans="1:43" x14ac:dyDescent="0.2">
      <c r="A61" s="60" t="s">
        <v>238</v>
      </c>
      <c r="B61" s="524"/>
      <c r="C61" s="524"/>
      <c r="D61" s="524"/>
      <c r="E61" s="524"/>
      <c r="F61" s="524"/>
      <c r="G61" s="524"/>
      <c r="H61" s="524"/>
      <c r="I61" s="524"/>
      <c r="J61" s="524"/>
      <c r="K61" s="524"/>
      <c r="L61" s="524"/>
      <c r="M61" s="524"/>
      <c r="N61" s="524"/>
      <c r="O61" s="524"/>
      <c r="P61" s="524"/>
      <c r="Q61" s="524"/>
      <c r="R61" s="524"/>
      <c r="S61" s="524"/>
      <c r="T61" s="524"/>
      <c r="U61" s="524"/>
      <c r="V61" s="524"/>
      <c r="W61" s="524"/>
      <c r="X61" s="524"/>
      <c r="Y61" s="524"/>
      <c r="Z61" s="524"/>
      <c r="AA61" s="524"/>
      <c r="AB61" s="524"/>
      <c r="AC61" s="524"/>
      <c r="AD61" s="524"/>
      <c r="AE61" s="524"/>
      <c r="AF61" s="524"/>
      <c r="AG61" s="524"/>
      <c r="AH61" s="524"/>
      <c r="AK61" s="110"/>
      <c r="AM61" s="110"/>
      <c r="AO61" s="110"/>
      <c r="AQ61" s="110"/>
    </row>
    <row r="62" spans="1:43" x14ac:dyDescent="0.2">
      <c r="A62" s="30" t="s">
        <v>444</v>
      </c>
      <c r="B62" s="567">
        <f>B103</f>
        <v>0</v>
      </c>
      <c r="C62" s="567">
        <f t="shared" ref="C62:AH62" si="40">C103+B62</f>
        <v>0</v>
      </c>
      <c r="D62" s="567">
        <f t="shared" si="40"/>
        <v>0</v>
      </c>
      <c r="E62" s="567">
        <f t="shared" si="40"/>
        <v>0</v>
      </c>
      <c r="F62" s="567">
        <f t="shared" si="40"/>
        <v>0</v>
      </c>
      <c r="G62" s="567">
        <f t="shared" si="40"/>
        <v>0</v>
      </c>
      <c r="H62" s="567">
        <f t="shared" si="40"/>
        <v>0</v>
      </c>
      <c r="I62" s="567">
        <f t="shared" si="40"/>
        <v>0</v>
      </c>
      <c r="J62" s="567">
        <f t="shared" si="40"/>
        <v>0</v>
      </c>
      <c r="K62" s="567">
        <f t="shared" si="40"/>
        <v>0</v>
      </c>
      <c r="L62" s="567">
        <f t="shared" si="40"/>
        <v>0</v>
      </c>
      <c r="M62" s="567">
        <f t="shared" si="40"/>
        <v>0</v>
      </c>
      <c r="N62" s="567">
        <f t="shared" si="40"/>
        <v>0</v>
      </c>
      <c r="O62" s="567">
        <f t="shared" si="40"/>
        <v>0</v>
      </c>
      <c r="P62" s="567">
        <f t="shared" si="40"/>
        <v>0</v>
      </c>
      <c r="Q62" s="567">
        <f t="shared" si="40"/>
        <v>0</v>
      </c>
      <c r="R62" s="567">
        <f t="shared" si="40"/>
        <v>0</v>
      </c>
      <c r="S62" s="567">
        <f t="shared" si="40"/>
        <v>0</v>
      </c>
      <c r="T62" s="567">
        <f t="shared" si="40"/>
        <v>0</v>
      </c>
      <c r="U62" s="567">
        <f t="shared" si="40"/>
        <v>0</v>
      </c>
      <c r="V62" s="567">
        <f t="shared" si="40"/>
        <v>0</v>
      </c>
      <c r="W62" s="567">
        <f t="shared" si="40"/>
        <v>0</v>
      </c>
      <c r="X62" s="567">
        <f t="shared" si="40"/>
        <v>0</v>
      </c>
      <c r="Y62" s="567">
        <f t="shared" si="40"/>
        <v>0</v>
      </c>
      <c r="Z62" s="567">
        <f t="shared" si="40"/>
        <v>0</v>
      </c>
      <c r="AA62" s="567">
        <f t="shared" si="40"/>
        <v>0</v>
      </c>
      <c r="AB62" s="567">
        <f t="shared" si="40"/>
        <v>0</v>
      </c>
      <c r="AC62" s="567">
        <f t="shared" si="40"/>
        <v>0</v>
      </c>
      <c r="AD62" s="567">
        <f t="shared" si="40"/>
        <v>0</v>
      </c>
      <c r="AE62" s="567">
        <f t="shared" si="40"/>
        <v>0</v>
      </c>
      <c r="AF62" s="567">
        <f t="shared" si="40"/>
        <v>0</v>
      </c>
      <c r="AG62" s="567">
        <f t="shared" si="40"/>
        <v>0</v>
      </c>
      <c r="AH62" s="567">
        <f t="shared" si="40"/>
        <v>0</v>
      </c>
      <c r="AK62" s="110"/>
      <c r="AM62" s="110"/>
      <c r="AO62" s="110"/>
      <c r="AQ62" s="110"/>
    </row>
    <row r="63" spans="1:43" x14ac:dyDescent="0.2">
      <c r="A63" s="30" t="s">
        <v>445</v>
      </c>
      <c r="B63" s="568">
        <f>1/'Kopējie pieņēmumi'!$B$31</f>
        <v>0.1</v>
      </c>
      <c r="C63" s="568">
        <f>B63</f>
        <v>0.1</v>
      </c>
      <c r="D63" s="568">
        <f t="shared" ref="D63:AH63" si="41">C63</f>
        <v>0.1</v>
      </c>
      <c r="E63" s="568">
        <f t="shared" si="41"/>
        <v>0.1</v>
      </c>
      <c r="F63" s="568">
        <f t="shared" si="41"/>
        <v>0.1</v>
      </c>
      <c r="G63" s="568">
        <f t="shared" si="41"/>
        <v>0.1</v>
      </c>
      <c r="H63" s="568">
        <f t="shared" si="41"/>
        <v>0.1</v>
      </c>
      <c r="I63" s="568">
        <f t="shared" si="41"/>
        <v>0.1</v>
      </c>
      <c r="J63" s="568">
        <f t="shared" si="41"/>
        <v>0.1</v>
      </c>
      <c r="K63" s="568">
        <f t="shared" si="41"/>
        <v>0.1</v>
      </c>
      <c r="L63" s="568">
        <f t="shared" si="41"/>
        <v>0.1</v>
      </c>
      <c r="M63" s="568">
        <f t="shared" si="41"/>
        <v>0.1</v>
      </c>
      <c r="N63" s="568">
        <f t="shared" si="41"/>
        <v>0.1</v>
      </c>
      <c r="O63" s="568">
        <f t="shared" si="41"/>
        <v>0.1</v>
      </c>
      <c r="P63" s="568">
        <f t="shared" si="41"/>
        <v>0.1</v>
      </c>
      <c r="Q63" s="568">
        <f t="shared" si="41"/>
        <v>0.1</v>
      </c>
      <c r="R63" s="568">
        <f t="shared" si="41"/>
        <v>0.1</v>
      </c>
      <c r="S63" s="568">
        <f t="shared" si="41"/>
        <v>0.1</v>
      </c>
      <c r="T63" s="568">
        <f t="shared" si="41"/>
        <v>0.1</v>
      </c>
      <c r="U63" s="568">
        <f t="shared" si="41"/>
        <v>0.1</v>
      </c>
      <c r="V63" s="568">
        <f t="shared" si="41"/>
        <v>0.1</v>
      </c>
      <c r="W63" s="568">
        <f t="shared" si="41"/>
        <v>0.1</v>
      </c>
      <c r="X63" s="568">
        <f t="shared" si="41"/>
        <v>0.1</v>
      </c>
      <c r="Y63" s="568">
        <f t="shared" si="41"/>
        <v>0.1</v>
      </c>
      <c r="Z63" s="568">
        <f t="shared" si="41"/>
        <v>0.1</v>
      </c>
      <c r="AA63" s="568">
        <f t="shared" si="41"/>
        <v>0.1</v>
      </c>
      <c r="AB63" s="568">
        <f t="shared" si="41"/>
        <v>0.1</v>
      </c>
      <c r="AC63" s="568">
        <f t="shared" si="41"/>
        <v>0.1</v>
      </c>
      <c r="AD63" s="568">
        <f t="shared" si="41"/>
        <v>0.1</v>
      </c>
      <c r="AE63" s="568">
        <f t="shared" si="41"/>
        <v>0.1</v>
      </c>
      <c r="AF63" s="568">
        <f t="shared" si="41"/>
        <v>0.1</v>
      </c>
      <c r="AG63" s="568">
        <f t="shared" si="41"/>
        <v>0.1</v>
      </c>
      <c r="AH63" s="568">
        <f t="shared" si="41"/>
        <v>0.1</v>
      </c>
      <c r="AK63" s="110"/>
      <c r="AM63" s="110"/>
      <c r="AO63" s="110"/>
      <c r="AQ63" s="110"/>
    </row>
    <row r="64" spans="1:43" x14ac:dyDescent="0.2">
      <c r="A64" s="30" t="s">
        <v>446</v>
      </c>
      <c r="B64" s="524">
        <v>0</v>
      </c>
      <c r="C64" s="567">
        <f t="shared" ref="C64:AG64" si="42">IF(B66&gt;0,IF(C62-B62&gt;0,0,C63*C62),0)</f>
        <v>0</v>
      </c>
      <c r="D64" s="567">
        <f t="shared" si="42"/>
        <v>0</v>
      </c>
      <c r="E64" s="567">
        <f t="shared" si="42"/>
        <v>0</v>
      </c>
      <c r="F64" s="567">
        <f t="shared" si="42"/>
        <v>0</v>
      </c>
      <c r="G64" s="567">
        <f t="shared" si="42"/>
        <v>0</v>
      </c>
      <c r="H64" s="567">
        <f t="shared" si="42"/>
        <v>0</v>
      </c>
      <c r="I64" s="567">
        <f t="shared" si="42"/>
        <v>0</v>
      </c>
      <c r="J64" s="567">
        <f t="shared" si="42"/>
        <v>0</v>
      </c>
      <c r="K64" s="567">
        <f t="shared" si="42"/>
        <v>0</v>
      </c>
      <c r="L64" s="567">
        <f t="shared" si="42"/>
        <v>0</v>
      </c>
      <c r="M64" s="567">
        <f t="shared" si="42"/>
        <v>0</v>
      </c>
      <c r="N64" s="567">
        <f t="shared" si="42"/>
        <v>0</v>
      </c>
      <c r="O64" s="567">
        <f t="shared" si="42"/>
        <v>0</v>
      </c>
      <c r="P64" s="567">
        <f t="shared" si="42"/>
        <v>0</v>
      </c>
      <c r="Q64" s="567">
        <f t="shared" si="42"/>
        <v>0</v>
      </c>
      <c r="R64" s="567">
        <f t="shared" si="42"/>
        <v>0</v>
      </c>
      <c r="S64" s="567">
        <f t="shared" si="42"/>
        <v>0</v>
      </c>
      <c r="T64" s="567">
        <f t="shared" si="42"/>
        <v>0</v>
      </c>
      <c r="U64" s="567">
        <f t="shared" si="42"/>
        <v>0</v>
      </c>
      <c r="V64" s="567">
        <f t="shared" si="42"/>
        <v>0</v>
      </c>
      <c r="W64" s="567">
        <f t="shared" si="42"/>
        <v>0</v>
      </c>
      <c r="X64" s="567">
        <f t="shared" si="42"/>
        <v>0</v>
      </c>
      <c r="Y64" s="567">
        <f t="shared" si="42"/>
        <v>0</v>
      </c>
      <c r="Z64" s="567">
        <f t="shared" si="42"/>
        <v>0</v>
      </c>
      <c r="AA64" s="567">
        <f t="shared" si="42"/>
        <v>0</v>
      </c>
      <c r="AB64" s="567">
        <f t="shared" si="42"/>
        <v>0</v>
      </c>
      <c r="AC64" s="567">
        <f t="shared" si="42"/>
        <v>0</v>
      </c>
      <c r="AD64" s="567">
        <f t="shared" si="42"/>
        <v>0</v>
      </c>
      <c r="AE64" s="567">
        <f t="shared" si="42"/>
        <v>0</v>
      </c>
      <c r="AF64" s="567">
        <f t="shared" si="42"/>
        <v>0</v>
      </c>
      <c r="AG64" s="567">
        <f t="shared" si="42"/>
        <v>0</v>
      </c>
      <c r="AH64" s="567">
        <f>IF(AG66&gt;0,IF(AH62-AG62&gt;0,0,AH63*AH62),0)</f>
        <v>0</v>
      </c>
      <c r="AK64" s="110"/>
      <c r="AM64" s="110"/>
      <c r="AO64" s="110"/>
      <c r="AQ64" s="110"/>
    </row>
    <row r="65" spans="1:43" x14ac:dyDescent="0.2">
      <c r="A65" s="30" t="s">
        <v>447</v>
      </c>
      <c r="B65" s="567">
        <f>B64</f>
        <v>0</v>
      </c>
      <c r="C65" s="567">
        <f t="shared" ref="C65:AG65" si="43">C64+B65</f>
        <v>0</v>
      </c>
      <c r="D65" s="567">
        <f t="shared" si="43"/>
        <v>0</v>
      </c>
      <c r="E65" s="567">
        <f t="shared" si="43"/>
        <v>0</v>
      </c>
      <c r="F65" s="567">
        <f t="shared" si="43"/>
        <v>0</v>
      </c>
      <c r="G65" s="567">
        <f t="shared" si="43"/>
        <v>0</v>
      </c>
      <c r="H65" s="567">
        <f t="shared" si="43"/>
        <v>0</v>
      </c>
      <c r="I65" s="567">
        <f t="shared" si="43"/>
        <v>0</v>
      </c>
      <c r="J65" s="567">
        <f t="shared" si="43"/>
        <v>0</v>
      </c>
      <c r="K65" s="567">
        <f t="shared" si="43"/>
        <v>0</v>
      </c>
      <c r="L65" s="567">
        <f t="shared" si="43"/>
        <v>0</v>
      </c>
      <c r="M65" s="567">
        <f t="shared" si="43"/>
        <v>0</v>
      </c>
      <c r="N65" s="567">
        <f t="shared" si="43"/>
        <v>0</v>
      </c>
      <c r="O65" s="567">
        <f t="shared" si="43"/>
        <v>0</v>
      </c>
      <c r="P65" s="567">
        <f t="shared" si="43"/>
        <v>0</v>
      </c>
      <c r="Q65" s="567">
        <f t="shared" si="43"/>
        <v>0</v>
      </c>
      <c r="R65" s="567">
        <f t="shared" si="43"/>
        <v>0</v>
      </c>
      <c r="S65" s="567">
        <f t="shared" si="43"/>
        <v>0</v>
      </c>
      <c r="T65" s="567">
        <f t="shared" si="43"/>
        <v>0</v>
      </c>
      <c r="U65" s="567">
        <f t="shared" si="43"/>
        <v>0</v>
      </c>
      <c r="V65" s="567">
        <f t="shared" si="43"/>
        <v>0</v>
      </c>
      <c r="W65" s="567">
        <f t="shared" si="43"/>
        <v>0</v>
      </c>
      <c r="X65" s="567">
        <f t="shared" si="43"/>
        <v>0</v>
      </c>
      <c r="Y65" s="567">
        <f t="shared" si="43"/>
        <v>0</v>
      </c>
      <c r="Z65" s="567">
        <f t="shared" si="43"/>
        <v>0</v>
      </c>
      <c r="AA65" s="567">
        <f t="shared" si="43"/>
        <v>0</v>
      </c>
      <c r="AB65" s="567">
        <f t="shared" si="43"/>
        <v>0</v>
      </c>
      <c r="AC65" s="567">
        <f t="shared" si="43"/>
        <v>0</v>
      </c>
      <c r="AD65" s="567">
        <f t="shared" si="43"/>
        <v>0</v>
      </c>
      <c r="AE65" s="567">
        <f t="shared" si="43"/>
        <v>0</v>
      </c>
      <c r="AF65" s="567">
        <f t="shared" si="43"/>
        <v>0</v>
      </c>
      <c r="AG65" s="567">
        <f t="shared" si="43"/>
        <v>0</v>
      </c>
      <c r="AH65" s="567">
        <f>AH64+AG65</f>
        <v>0</v>
      </c>
      <c r="AK65" s="110"/>
      <c r="AM65" s="110"/>
      <c r="AO65" s="110"/>
      <c r="AQ65" s="110"/>
    </row>
    <row r="66" spans="1:43" x14ac:dyDescent="0.2">
      <c r="A66" s="30" t="s">
        <v>448</v>
      </c>
      <c r="B66" s="567">
        <f>ROUND(IF(B62-B65&gt;0,B62-B65,0),0)</f>
        <v>0</v>
      </c>
      <c r="C66" s="567">
        <f>ROUND(IF(C62-C65&gt;0,C62-C65,0),4)</f>
        <v>0</v>
      </c>
      <c r="D66" s="567">
        <f t="shared" ref="D66:AH66" si="44">ROUND(IF(D62-D65&gt;0,D62-D65,0),4)</f>
        <v>0</v>
      </c>
      <c r="E66" s="567">
        <f t="shared" si="44"/>
        <v>0</v>
      </c>
      <c r="F66" s="567">
        <f t="shared" si="44"/>
        <v>0</v>
      </c>
      <c r="G66" s="567">
        <f t="shared" si="44"/>
        <v>0</v>
      </c>
      <c r="H66" s="567">
        <f t="shared" si="44"/>
        <v>0</v>
      </c>
      <c r="I66" s="567">
        <f t="shared" si="44"/>
        <v>0</v>
      </c>
      <c r="J66" s="567">
        <f t="shared" si="44"/>
        <v>0</v>
      </c>
      <c r="K66" s="567">
        <f t="shared" si="44"/>
        <v>0</v>
      </c>
      <c r="L66" s="567">
        <f t="shared" si="44"/>
        <v>0</v>
      </c>
      <c r="M66" s="567">
        <f t="shared" si="44"/>
        <v>0</v>
      </c>
      <c r="N66" s="567">
        <f t="shared" si="44"/>
        <v>0</v>
      </c>
      <c r="O66" s="567">
        <f t="shared" si="44"/>
        <v>0</v>
      </c>
      <c r="P66" s="567">
        <f t="shared" si="44"/>
        <v>0</v>
      </c>
      <c r="Q66" s="567">
        <f t="shared" si="44"/>
        <v>0</v>
      </c>
      <c r="R66" s="567">
        <f t="shared" si="44"/>
        <v>0</v>
      </c>
      <c r="S66" s="567">
        <f t="shared" si="44"/>
        <v>0</v>
      </c>
      <c r="T66" s="567">
        <f t="shared" si="44"/>
        <v>0</v>
      </c>
      <c r="U66" s="567">
        <f t="shared" si="44"/>
        <v>0</v>
      </c>
      <c r="V66" s="567">
        <f t="shared" si="44"/>
        <v>0</v>
      </c>
      <c r="W66" s="567">
        <f t="shared" si="44"/>
        <v>0</v>
      </c>
      <c r="X66" s="567">
        <f t="shared" si="44"/>
        <v>0</v>
      </c>
      <c r="Y66" s="567">
        <f t="shared" si="44"/>
        <v>0</v>
      </c>
      <c r="Z66" s="567">
        <f t="shared" si="44"/>
        <v>0</v>
      </c>
      <c r="AA66" s="567">
        <f t="shared" si="44"/>
        <v>0</v>
      </c>
      <c r="AB66" s="567">
        <f t="shared" si="44"/>
        <v>0</v>
      </c>
      <c r="AC66" s="567">
        <f t="shared" si="44"/>
        <v>0</v>
      </c>
      <c r="AD66" s="567">
        <f t="shared" si="44"/>
        <v>0</v>
      </c>
      <c r="AE66" s="567">
        <f t="shared" si="44"/>
        <v>0</v>
      </c>
      <c r="AF66" s="567">
        <f t="shared" si="44"/>
        <v>0</v>
      </c>
      <c r="AG66" s="567">
        <f t="shared" si="44"/>
        <v>0</v>
      </c>
      <c r="AH66" s="567">
        <f t="shared" si="44"/>
        <v>0</v>
      </c>
      <c r="AK66" s="110"/>
      <c r="AM66" s="110"/>
      <c r="AO66" s="110"/>
      <c r="AQ66" s="110"/>
    </row>
    <row r="67" spans="1:43" x14ac:dyDescent="0.2">
      <c r="A67" s="60" t="s">
        <v>239</v>
      </c>
      <c r="B67" s="524"/>
      <c r="C67" s="524"/>
      <c r="D67" s="524"/>
      <c r="E67" s="524"/>
      <c r="F67" s="524"/>
      <c r="G67" s="524"/>
      <c r="H67" s="524"/>
      <c r="I67" s="524"/>
      <c r="J67" s="524"/>
      <c r="K67" s="524"/>
      <c r="L67" s="524"/>
      <c r="M67" s="524"/>
      <c r="N67" s="524"/>
      <c r="O67" s="524"/>
      <c r="P67" s="524"/>
      <c r="Q67" s="524"/>
      <c r="R67" s="524"/>
      <c r="S67" s="524"/>
      <c r="T67" s="524"/>
      <c r="U67" s="524"/>
      <c r="V67" s="524"/>
      <c r="W67" s="524"/>
      <c r="X67" s="524"/>
      <c r="Y67" s="524"/>
      <c r="Z67" s="524"/>
      <c r="AA67" s="524"/>
      <c r="AB67" s="524"/>
      <c r="AC67" s="524"/>
      <c r="AD67" s="524"/>
      <c r="AE67" s="524"/>
      <c r="AF67" s="524"/>
      <c r="AG67" s="524"/>
      <c r="AH67" s="524"/>
      <c r="AK67" s="110"/>
      <c r="AM67" s="110"/>
      <c r="AO67" s="110"/>
      <c r="AQ67" s="110"/>
    </row>
    <row r="68" spans="1:43" x14ac:dyDescent="0.2">
      <c r="A68" s="30" t="s">
        <v>444</v>
      </c>
      <c r="B68" s="567">
        <f>B104</f>
        <v>42057.47</v>
      </c>
      <c r="C68" s="567">
        <f t="shared" ref="C68:AH68" si="45">C104+B68</f>
        <v>79195.83</v>
      </c>
      <c r="D68" s="567">
        <f t="shared" si="45"/>
        <v>91195.83</v>
      </c>
      <c r="E68" s="567">
        <f t="shared" si="45"/>
        <v>91195.83</v>
      </c>
      <c r="F68" s="567">
        <f t="shared" si="45"/>
        <v>91195.83</v>
      </c>
      <c r="G68" s="567">
        <f t="shared" si="45"/>
        <v>91195.83</v>
      </c>
      <c r="H68" s="567">
        <f t="shared" si="45"/>
        <v>91195.83</v>
      </c>
      <c r="I68" s="567">
        <f t="shared" si="45"/>
        <v>91195.83</v>
      </c>
      <c r="J68" s="567">
        <f t="shared" si="45"/>
        <v>91195.83</v>
      </c>
      <c r="K68" s="567">
        <f t="shared" si="45"/>
        <v>91195.83</v>
      </c>
      <c r="L68" s="567">
        <f t="shared" si="45"/>
        <v>91195.83</v>
      </c>
      <c r="M68" s="567">
        <f t="shared" si="45"/>
        <v>91195.83</v>
      </c>
      <c r="N68" s="567">
        <f t="shared" si="45"/>
        <v>91195.83</v>
      </c>
      <c r="O68" s="567">
        <f t="shared" si="45"/>
        <v>91195.83</v>
      </c>
      <c r="P68" s="567">
        <f t="shared" si="45"/>
        <v>91195.83</v>
      </c>
      <c r="Q68" s="567">
        <f t="shared" si="45"/>
        <v>91195.83</v>
      </c>
      <c r="R68" s="567">
        <f t="shared" si="45"/>
        <v>91195.83</v>
      </c>
      <c r="S68" s="567">
        <f t="shared" si="45"/>
        <v>91195.83</v>
      </c>
      <c r="T68" s="567">
        <f t="shared" si="45"/>
        <v>91195.83</v>
      </c>
      <c r="U68" s="567">
        <f t="shared" si="45"/>
        <v>91195.83</v>
      </c>
      <c r="V68" s="567">
        <f t="shared" si="45"/>
        <v>91195.83</v>
      </c>
      <c r="W68" s="567">
        <f t="shared" si="45"/>
        <v>91195.83</v>
      </c>
      <c r="X68" s="567">
        <f t="shared" si="45"/>
        <v>91195.83</v>
      </c>
      <c r="Y68" s="567">
        <f t="shared" si="45"/>
        <v>91195.83</v>
      </c>
      <c r="Z68" s="567">
        <f t="shared" si="45"/>
        <v>91195.83</v>
      </c>
      <c r="AA68" s="567">
        <f t="shared" si="45"/>
        <v>91195.83</v>
      </c>
      <c r="AB68" s="567">
        <f t="shared" si="45"/>
        <v>91195.83</v>
      </c>
      <c r="AC68" s="567">
        <f t="shared" si="45"/>
        <v>91195.83</v>
      </c>
      <c r="AD68" s="567">
        <f t="shared" si="45"/>
        <v>91195.83</v>
      </c>
      <c r="AE68" s="567">
        <f t="shared" si="45"/>
        <v>91195.83</v>
      </c>
      <c r="AF68" s="567">
        <f t="shared" si="45"/>
        <v>91195.83</v>
      </c>
      <c r="AG68" s="567">
        <f t="shared" si="45"/>
        <v>91195.83</v>
      </c>
      <c r="AH68" s="567">
        <f t="shared" si="45"/>
        <v>91195.83</v>
      </c>
      <c r="AK68" s="110"/>
      <c r="AM68" s="110"/>
      <c r="AO68" s="110"/>
      <c r="AQ68" s="110"/>
    </row>
    <row r="69" spans="1:43" x14ac:dyDescent="0.2">
      <c r="A69" s="30" t="s">
        <v>445</v>
      </c>
      <c r="B69" s="568">
        <f>1/'Kopējie pieņēmumi'!$B$32</f>
        <v>0.1</v>
      </c>
      <c r="C69" s="568">
        <f>B69</f>
        <v>0.1</v>
      </c>
      <c r="D69" s="568">
        <f t="shared" ref="D69:AH69" si="46">C69</f>
        <v>0.1</v>
      </c>
      <c r="E69" s="568">
        <f t="shared" si="46"/>
        <v>0.1</v>
      </c>
      <c r="F69" s="568">
        <f t="shared" si="46"/>
        <v>0.1</v>
      </c>
      <c r="G69" s="568">
        <f t="shared" si="46"/>
        <v>0.1</v>
      </c>
      <c r="H69" s="568">
        <f t="shared" si="46"/>
        <v>0.1</v>
      </c>
      <c r="I69" s="568">
        <f t="shared" si="46"/>
        <v>0.1</v>
      </c>
      <c r="J69" s="568">
        <f t="shared" si="46"/>
        <v>0.1</v>
      </c>
      <c r="K69" s="568">
        <f t="shared" si="46"/>
        <v>0.1</v>
      </c>
      <c r="L69" s="568">
        <f t="shared" si="46"/>
        <v>0.1</v>
      </c>
      <c r="M69" s="568">
        <f t="shared" si="46"/>
        <v>0.1</v>
      </c>
      <c r="N69" s="568">
        <f t="shared" si="46"/>
        <v>0.1</v>
      </c>
      <c r="O69" s="568">
        <f t="shared" si="46"/>
        <v>0.1</v>
      </c>
      <c r="P69" s="568">
        <f t="shared" si="46"/>
        <v>0.1</v>
      </c>
      <c r="Q69" s="568">
        <f t="shared" si="46"/>
        <v>0.1</v>
      </c>
      <c r="R69" s="568">
        <f t="shared" si="46"/>
        <v>0.1</v>
      </c>
      <c r="S69" s="568">
        <f t="shared" si="46"/>
        <v>0.1</v>
      </c>
      <c r="T69" s="568">
        <f t="shared" si="46"/>
        <v>0.1</v>
      </c>
      <c r="U69" s="568">
        <f t="shared" si="46"/>
        <v>0.1</v>
      </c>
      <c r="V69" s="568">
        <f t="shared" si="46"/>
        <v>0.1</v>
      </c>
      <c r="W69" s="568">
        <f t="shared" si="46"/>
        <v>0.1</v>
      </c>
      <c r="X69" s="568">
        <f t="shared" si="46"/>
        <v>0.1</v>
      </c>
      <c r="Y69" s="568">
        <f t="shared" si="46"/>
        <v>0.1</v>
      </c>
      <c r="Z69" s="568">
        <f t="shared" si="46"/>
        <v>0.1</v>
      </c>
      <c r="AA69" s="568">
        <f t="shared" si="46"/>
        <v>0.1</v>
      </c>
      <c r="AB69" s="568">
        <f t="shared" si="46"/>
        <v>0.1</v>
      </c>
      <c r="AC69" s="568">
        <f t="shared" si="46"/>
        <v>0.1</v>
      </c>
      <c r="AD69" s="568">
        <f t="shared" si="46"/>
        <v>0.1</v>
      </c>
      <c r="AE69" s="568">
        <f t="shared" si="46"/>
        <v>0.1</v>
      </c>
      <c r="AF69" s="568">
        <f t="shared" si="46"/>
        <v>0.1</v>
      </c>
      <c r="AG69" s="568">
        <f t="shared" si="46"/>
        <v>0.1</v>
      </c>
      <c r="AH69" s="568">
        <f t="shared" si="46"/>
        <v>0.1</v>
      </c>
      <c r="AK69" s="110"/>
      <c r="AM69" s="110"/>
      <c r="AO69" s="110"/>
      <c r="AQ69" s="110"/>
    </row>
    <row r="70" spans="1:43" x14ac:dyDescent="0.2">
      <c r="A70" s="30" t="s">
        <v>446</v>
      </c>
      <c r="B70" s="524">
        <v>0</v>
      </c>
      <c r="C70" s="567">
        <f t="shared" ref="C70:AG70" si="47">IF(B72&gt;0,IF(C68-B68&gt;0,0,C69*C68),0)</f>
        <v>0</v>
      </c>
      <c r="D70" s="567">
        <f t="shared" si="47"/>
        <v>0</v>
      </c>
      <c r="E70" s="567">
        <f t="shared" si="47"/>
        <v>9119.5830000000005</v>
      </c>
      <c r="F70" s="567">
        <f t="shared" si="47"/>
        <v>9119.5830000000005</v>
      </c>
      <c r="G70" s="567">
        <f t="shared" si="47"/>
        <v>9119.5830000000005</v>
      </c>
      <c r="H70" s="567">
        <f t="shared" si="47"/>
        <v>9119.5830000000005</v>
      </c>
      <c r="I70" s="567">
        <f t="shared" si="47"/>
        <v>9119.5830000000005</v>
      </c>
      <c r="J70" s="567">
        <f t="shared" si="47"/>
        <v>9119.5830000000005</v>
      </c>
      <c r="K70" s="567">
        <f t="shared" si="47"/>
        <v>9119.5830000000005</v>
      </c>
      <c r="L70" s="567">
        <f t="shared" si="47"/>
        <v>9119.5830000000005</v>
      </c>
      <c r="M70" s="567">
        <f t="shared" si="47"/>
        <v>9119.5830000000005</v>
      </c>
      <c r="N70" s="567">
        <f t="shared" si="47"/>
        <v>9119.5830000000005</v>
      </c>
      <c r="O70" s="567">
        <f t="shared" si="47"/>
        <v>0</v>
      </c>
      <c r="P70" s="567">
        <f t="shared" si="47"/>
        <v>0</v>
      </c>
      <c r="Q70" s="567">
        <f t="shared" si="47"/>
        <v>0</v>
      </c>
      <c r="R70" s="567">
        <f t="shared" si="47"/>
        <v>0</v>
      </c>
      <c r="S70" s="567">
        <f t="shared" si="47"/>
        <v>0</v>
      </c>
      <c r="T70" s="567">
        <f t="shared" si="47"/>
        <v>0</v>
      </c>
      <c r="U70" s="567">
        <f t="shared" si="47"/>
        <v>0</v>
      </c>
      <c r="V70" s="567">
        <f t="shared" si="47"/>
        <v>0</v>
      </c>
      <c r="W70" s="567">
        <f t="shared" si="47"/>
        <v>0</v>
      </c>
      <c r="X70" s="567">
        <f t="shared" si="47"/>
        <v>0</v>
      </c>
      <c r="Y70" s="567">
        <f t="shared" si="47"/>
        <v>0</v>
      </c>
      <c r="Z70" s="567">
        <f t="shared" si="47"/>
        <v>0</v>
      </c>
      <c r="AA70" s="567">
        <f t="shared" si="47"/>
        <v>0</v>
      </c>
      <c r="AB70" s="567">
        <f t="shared" si="47"/>
        <v>0</v>
      </c>
      <c r="AC70" s="567">
        <f t="shared" si="47"/>
        <v>0</v>
      </c>
      <c r="AD70" s="567">
        <f t="shared" si="47"/>
        <v>0</v>
      </c>
      <c r="AE70" s="567">
        <f t="shared" si="47"/>
        <v>0</v>
      </c>
      <c r="AF70" s="567">
        <f t="shared" si="47"/>
        <v>0</v>
      </c>
      <c r="AG70" s="567">
        <f t="shared" si="47"/>
        <v>0</v>
      </c>
      <c r="AH70" s="567">
        <f>IF(AG72&gt;0,IF(AH68-AG68&gt;0,0,AH69*AH68),0)</f>
        <v>0</v>
      </c>
      <c r="AK70" s="110"/>
      <c r="AM70" s="110"/>
      <c r="AO70" s="110"/>
      <c r="AQ70" s="110"/>
    </row>
    <row r="71" spans="1:43" x14ac:dyDescent="0.2">
      <c r="A71" s="30" t="s">
        <v>447</v>
      </c>
      <c r="B71" s="567">
        <f>B70</f>
        <v>0</v>
      </c>
      <c r="C71" s="567">
        <f t="shared" ref="C71:AG71" si="48">C70+B71</f>
        <v>0</v>
      </c>
      <c r="D71" s="567">
        <f t="shared" si="48"/>
        <v>0</v>
      </c>
      <c r="E71" s="567">
        <f t="shared" si="48"/>
        <v>9119.5830000000005</v>
      </c>
      <c r="F71" s="567">
        <f t="shared" si="48"/>
        <v>18239.166000000001</v>
      </c>
      <c r="G71" s="567">
        <f t="shared" si="48"/>
        <v>27358.749000000003</v>
      </c>
      <c r="H71" s="567">
        <f t="shared" si="48"/>
        <v>36478.332000000002</v>
      </c>
      <c r="I71" s="567">
        <f t="shared" si="48"/>
        <v>45597.915000000001</v>
      </c>
      <c r="J71" s="567">
        <f t="shared" si="48"/>
        <v>54717.498</v>
      </c>
      <c r="K71" s="567">
        <f t="shared" si="48"/>
        <v>63837.080999999998</v>
      </c>
      <c r="L71" s="567">
        <f t="shared" si="48"/>
        <v>72956.664000000004</v>
      </c>
      <c r="M71" s="567">
        <f t="shared" si="48"/>
        <v>82076.247000000003</v>
      </c>
      <c r="N71" s="567">
        <f t="shared" si="48"/>
        <v>91195.83</v>
      </c>
      <c r="O71" s="567">
        <f t="shared" si="48"/>
        <v>91195.83</v>
      </c>
      <c r="P71" s="567">
        <f t="shared" si="48"/>
        <v>91195.83</v>
      </c>
      <c r="Q71" s="567">
        <f t="shared" si="48"/>
        <v>91195.83</v>
      </c>
      <c r="R71" s="567">
        <f t="shared" si="48"/>
        <v>91195.83</v>
      </c>
      <c r="S71" s="567">
        <f t="shared" si="48"/>
        <v>91195.83</v>
      </c>
      <c r="T71" s="567">
        <f t="shared" si="48"/>
        <v>91195.83</v>
      </c>
      <c r="U71" s="567">
        <f t="shared" si="48"/>
        <v>91195.83</v>
      </c>
      <c r="V71" s="567">
        <f t="shared" si="48"/>
        <v>91195.83</v>
      </c>
      <c r="W71" s="567">
        <f t="shared" si="48"/>
        <v>91195.83</v>
      </c>
      <c r="X71" s="567">
        <f t="shared" si="48"/>
        <v>91195.83</v>
      </c>
      <c r="Y71" s="567">
        <f t="shared" si="48"/>
        <v>91195.83</v>
      </c>
      <c r="Z71" s="567">
        <f t="shared" si="48"/>
        <v>91195.83</v>
      </c>
      <c r="AA71" s="567">
        <f t="shared" si="48"/>
        <v>91195.83</v>
      </c>
      <c r="AB71" s="567">
        <f t="shared" si="48"/>
        <v>91195.83</v>
      </c>
      <c r="AC71" s="567">
        <f t="shared" si="48"/>
        <v>91195.83</v>
      </c>
      <c r="AD71" s="567">
        <f t="shared" si="48"/>
        <v>91195.83</v>
      </c>
      <c r="AE71" s="567">
        <f t="shared" si="48"/>
        <v>91195.83</v>
      </c>
      <c r="AF71" s="567">
        <f t="shared" si="48"/>
        <v>91195.83</v>
      </c>
      <c r="AG71" s="567">
        <f t="shared" si="48"/>
        <v>91195.83</v>
      </c>
      <c r="AH71" s="567">
        <f>AH70+AG71</f>
        <v>91195.83</v>
      </c>
      <c r="AK71" s="110"/>
      <c r="AM71" s="110"/>
      <c r="AO71" s="110"/>
      <c r="AQ71" s="110"/>
    </row>
    <row r="72" spans="1:43" x14ac:dyDescent="0.2">
      <c r="A72" s="30" t="s">
        <v>448</v>
      </c>
      <c r="B72" s="567">
        <f>ROUND(IF(B68-B71&gt;0,B68-B71,0),0)</f>
        <v>42057</v>
      </c>
      <c r="C72" s="567">
        <f>ROUND(IF(C68-C71&gt;0,C68-C71,0),4)</f>
        <v>79195.83</v>
      </c>
      <c r="D72" s="567">
        <f t="shared" ref="D72:AH72" si="49">ROUND(IF(D68-D71&gt;0,D68-D71,0),4)</f>
        <v>91195.83</v>
      </c>
      <c r="E72" s="567">
        <f t="shared" si="49"/>
        <v>82076.247000000003</v>
      </c>
      <c r="F72" s="567">
        <f t="shared" si="49"/>
        <v>72956.664000000004</v>
      </c>
      <c r="G72" s="567">
        <f t="shared" si="49"/>
        <v>63837.080999999998</v>
      </c>
      <c r="H72" s="567">
        <f t="shared" si="49"/>
        <v>54717.498</v>
      </c>
      <c r="I72" s="567">
        <f t="shared" si="49"/>
        <v>45597.915000000001</v>
      </c>
      <c r="J72" s="567">
        <f t="shared" si="49"/>
        <v>36478.332000000002</v>
      </c>
      <c r="K72" s="567">
        <f t="shared" si="49"/>
        <v>27358.749</v>
      </c>
      <c r="L72" s="567">
        <f t="shared" si="49"/>
        <v>18239.166000000001</v>
      </c>
      <c r="M72" s="567">
        <f t="shared" si="49"/>
        <v>9119.5830000000005</v>
      </c>
      <c r="N72" s="567">
        <f t="shared" si="49"/>
        <v>0</v>
      </c>
      <c r="O72" s="567">
        <f t="shared" si="49"/>
        <v>0</v>
      </c>
      <c r="P72" s="567">
        <f t="shared" si="49"/>
        <v>0</v>
      </c>
      <c r="Q72" s="567">
        <f t="shared" si="49"/>
        <v>0</v>
      </c>
      <c r="R72" s="567">
        <f t="shared" si="49"/>
        <v>0</v>
      </c>
      <c r="S72" s="567">
        <f t="shared" si="49"/>
        <v>0</v>
      </c>
      <c r="T72" s="567">
        <f t="shared" si="49"/>
        <v>0</v>
      </c>
      <c r="U72" s="567">
        <f t="shared" si="49"/>
        <v>0</v>
      </c>
      <c r="V72" s="567">
        <f t="shared" si="49"/>
        <v>0</v>
      </c>
      <c r="W72" s="567">
        <f t="shared" si="49"/>
        <v>0</v>
      </c>
      <c r="X72" s="567">
        <f t="shared" si="49"/>
        <v>0</v>
      </c>
      <c r="Y72" s="567">
        <f t="shared" si="49"/>
        <v>0</v>
      </c>
      <c r="Z72" s="567">
        <f t="shared" si="49"/>
        <v>0</v>
      </c>
      <c r="AA72" s="567">
        <f t="shared" si="49"/>
        <v>0</v>
      </c>
      <c r="AB72" s="567">
        <f t="shared" si="49"/>
        <v>0</v>
      </c>
      <c r="AC72" s="567">
        <f t="shared" si="49"/>
        <v>0</v>
      </c>
      <c r="AD72" s="567">
        <f t="shared" si="49"/>
        <v>0</v>
      </c>
      <c r="AE72" s="567">
        <f t="shared" si="49"/>
        <v>0</v>
      </c>
      <c r="AF72" s="567">
        <f t="shared" si="49"/>
        <v>0</v>
      </c>
      <c r="AG72" s="567">
        <f t="shared" si="49"/>
        <v>0</v>
      </c>
      <c r="AH72" s="567">
        <f t="shared" si="49"/>
        <v>0</v>
      </c>
      <c r="AK72" s="110"/>
      <c r="AM72" s="110"/>
      <c r="AO72" s="110"/>
      <c r="AQ72" s="110"/>
    </row>
    <row r="73" spans="1:43" x14ac:dyDescent="0.2">
      <c r="A73" s="281"/>
      <c r="B73" s="279"/>
      <c r="C73" s="279"/>
      <c r="D73" s="279"/>
      <c r="E73" s="279"/>
      <c r="F73" s="279"/>
      <c r="G73" s="279"/>
      <c r="H73" s="279"/>
      <c r="I73" s="279"/>
      <c r="J73" s="279"/>
      <c r="K73" s="279"/>
      <c r="L73" s="279"/>
      <c r="M73" s="279"/>
      <c r="N73" s="279"/>
      <c r="O73" s="279"/>
      <c r="P73" s="279"/>
      <c r="Q73" s="279"/>
      <c r="R73" s="279"/>
      <c r="S73" s="279"/>
      <c r="T73" s="279"/>
      <c r="U73" s="279"/>
      <c r="V73" s="279"/>
      <c r="W73" s="279"/>
      <c r="X73" s="279"/>
      <c r="Y73" s="279"/>
      <c r="Z73" s="279"/>
      <c r="AA73" s="279"/>
      <c r="AB73" s="279"/>
      <c r="AC73" s="279"/>
      <c r="AD73" s="279"/>
      <c r="AE73" s="279"/>
      <c r="AF73" s="279"/>
      <c r="AG73" s="279"/>
      <c r="AH73" s="279"/>
      <c r="AK73" s="110"/>
      <c r="AM73" s="110"/>
      <c r="AO73" s="110"/>
      <c r="AQ73" s="110"/>
    </row>
    <row r="74" spans="1:43" x14ac:dyDescent="0.2">
      <c r="A74" s="546" t="s">
        <v>450</v>
      </c>
      <c r="B74" s="96">
        <f t="shared" ref="B74:AG74" si="50">B31</f>
        <v>2017</v>
      </c>
      <c r="C74" s="96">
        <f t="shared" si="50"/>
        <v>2018</v>
      </c>
      <c r="D74" s="96">
        <f t="shared" si="50"/>
        <v>2019</v>
      </c>
      <c r="E74" s="96">
        <f t="shared" si="50"/>
        <v>2020</v>
      </c>
      <c r="F74" s="96">
        <f t="shared" si="50"/>
        <v>2021</v>
      </c>
      <c r="G74" s="96">
        <f t="shared" si="50"/>
        <v>2022</v>
      </c>
      <c r="H74" s="96">
        <f t="shared" si="50"/>
        <v>2023</v>
      </c>
      <c r="I74" s="96">
        <f t="shared" si="50"/>
        <v>2024</v>
      </c>
      <c r="J74" s="96">
        <f t="shared" si="50"/>
        <v>2025</v>
      </c>
      <c r="K74" s="96">
        <f t="shared" si="50"/>
        <v>2026</v>
      </c>
      <c r="L74" s="96">
        <f t="shared" si="50"/>
        <v>2027</v>
      </c>
      <c r="M74" s="96">
        <f t="shared" si="50"/>
        <v>2028</v>
      </c>
      <c r="N74" s="96">
        <f t="shared" si="50"/>
        <v>2029</v>
      </c>
      <c r="O74" s="96">
        <f t="shared" si="50"/>
        <v>2030</v>
      </c>
      <c r="P74" s="96">
        <f t="shared" si="50"/>
        <v>2031</v>
      </c>
      <c r="Q74" s="96">
        <f t="shared" si="50"/>
        <v>2032</v>
      </c>
      <c r="R74" s="96">
        <f t="shared" si="50"/>
        <v>2033</v>
      </c>
      <c r="S74" s="96">
        <f t="shared" si="50"/>
        <v>2034</v>
      </c>
      <c r="T74" s="96">
        <f t="shared" si="50"/>
        <v>2035</v>
      </c>
      <c r="U74" s="96">
        <f t="shared" si="50"/>
        <v>2036</v>
      </c>
      <c r="V74" s="96">
        <f t="shared" si="50"/>
        <v>2037</v>
      </c>
      <c r="W74" s="96">
        <f t="shared" si="50"/>
        <v>2038</v>
      </c>
      <c r="X74" s="96">
        <f t="shared" si="50"/>
        <v>2039</v>
      </c>
      <c r="Y74" s="96">
        <f t="shared" si="50"/>
        <v>2040</v>
      </c>
      <c r="Z74" s="96">
        <f t="shared" si="50"/>
        <v>2041</v>
      </c>
      <c r="AA74" s="96">
        <f t="shared" si="50"/>
        <v>2042</v>
      </c>
      <c r="AB74" s="96">
        <f t="shared" si="50"/>
        <v>2043</v>
      </c>
      <c r="AC74" s="96">
        <f t="shared" si="50"/>
        <v>2044</v>
      </c>
      <c r="AD74" s="96">
        <f t="shared" si="50"/>
        <v>2045</v>
      </c>
      <c r="AE74" s="96">
        <f t="shared" si="50"/>
        <v>2046</v>
      </c>
      <c r="AF74" s="96">
        <f t="shared" si="50"/>
        <v>2047</v>
      </c>
      <c r="AG74" s="96">
        <f t="shared" si="50"/>
        <v>2048</v>
      </c>
      <c r="AH74" s="96">
        <f>AH31</f>
        <v>2049</v>
      </c>
      <c r="AK74" s="110"/>
      <c r="AM74" s="110"/>
      <c r="AO74" s="110"/>
      <c r="AQ74" s="110"/>
    </row>
    <row r="75" spans="1:43" x14ac:dyDescent="0.2">
      <c r="A75" s="60" t="s">
        <v>237</v>
      </c>
      <c r="B75" s="566"/>
      <c r="C75" s="566"/>
      <c r="D75" s="566"/>
      <c r="E75" s="566"/>
      <c r="F75" s="566"/>
      <c r="G75" s="566"/>
      <c r="H75" s="566"/>
      <c r="I75" s="566"/>
      <c r="J75" s="566"/>
      <c r="K75" s="566"/>
      <c r="L75" s="566"/>
      <c r="M75" s="566"/>
      <c r="N75" s="566"/>
      <c r="O75" s="566"/>
      <c r="P75" s="566"/>
      <c r="Q75" s="566"/>
      <c r="R75" s="566"/>
      <c r="S75" s="566"/>
      <c r="T75" s="566"/>
      <c r="U75" s="566"/>
      <c r="V75" s="566"/>
      <c r="W75" s="566"/>
      <c r="X75" s="566"/>
      <c r="Y75" s="566"/>
      <c r="Z75" s="566"/>
      <c r="AA75" s="566"/>
      <c r="AB75" s="566"/>
      <c r="AC75" s="566"/>
      <c r="AD75" s="566"/>
      <c r="AE75" s="566"/>
      <c r="AF75" s="566"/>
      <c r="AG75" s="566"/>
      <c r="AH75" s="566"/>
      <c r="AK75" s="110"/>
      <c r="AM75" s="110"/>
      <c r="AO75" s="110"/>
      <c r="AQ75" s="110"/>
    </row>
    <row r="76" spans="1:43" x14ac:dyDescent="0.2">
      <c r="A76" s="30" t="s">
        <v>444</v>
      </c>
      <c r="B76" s="567">
        <f>B35+B56</f>
        <v>547760.77</v>
      </c>
      <c r="C76" s="567">
        <f>C35+C56+B76</f>
        <v>1407894.21</v>
      </c>
      <c r="D76" s="567">
        <f>D35+D56</f>
        <v>1371598.44</v>
      </c>
      <c r="E76" s="567">
        <f t="shared" ref="E76:AG76" si="51">E35+E56</f>
        <v>1371598.44</v>
      </c>
      <c r="F76" s="567">
        <f t="shared" si="51"/>
        <v>1371598.44</v>
      </c>
      <c r="G76" s="567">
        <f t="shared" si="51"/>
        <v>1371598.44</v>
      </c>
      <c r="H76" s="567">
        <f t="shared" si="51"/>
        <v>1371598.44</v>
      </c>
      <c r="I76" s="567">
        <f t="shared" si="51"/>
        <v>1371598.44</v>
      </c>
      <c r="J76" s="567">
        <f t="shared" si="51"/>
        <v>1371598.44</v>
      </c>
      <c r="K76" s="567">
        <f t="shared" si="51"/>
        <v>1371598.44</v>
      </c>
      <c r="L76" s="567">
        <f t="shared" si="51"/>
        <v>1371598.44</v>
      </c>
      <c r="M76" s="567">
        <f t="shared" si="51"/>
        <v>1371598.44</v>
      </c>
      <c r="N76" s="567">
        <f t="shared" si="51"/>
        <v>1371598.44</v>
      </c>
      <c r="O76" s="567">
        <f t="shared" si="51"/>
        <v>1371598.44</v>
      </c>
      <c r="P76" s="567">
        <f t="shared" si="51"/>
        <v>1371598.44</v>
      </c>
      <c r="Q76" s="567">
        <f t="shared" si="51"/>
        <v>1371598.44</v>
      </c>
      <c r="R76" s="567">
        <f t="shared" si="51"/>
        <v>1371598.44</v>
      </c>
      <c r="S76" s="567">
        <f t="shared" si="51"/>
        <v>1371598.44</v>
      </c>
      <c r="T76" s="567">
        <f t="shared" si="51"/>
        <v>1371598.44</v>
      </c>
      <c r="U76" s="567">
        <f t="shared" si="51"/>
        <v>1371598.44</v>
      </c>
      <c r="V76" s="567">
        <f t="shared" si="51"/>
        <v>1371598.44</v>
      </c>
      <c r="W76" s="567">
        <f t="shared" si="51"/>
        <v>1371598.44</v>
      </c>
      <c r="X76" s="567">
        <f t="shared" si="51"/>
        <v>1371598.44</v>
      </c>
      <c r="Y76" s="567">
        <f t="shared" si="51"/>
        <v>1371598.44</v>
      </c>
      <c r="Z76" s="567">
        <f t="shared" si="51"/>
        <v>1371598.44</v>
      </c>
      <c r="AA76" s="567">
        <f t="shared" si="51"/>
        <v>1371598.44</v>
      </c>
      <c r="AB76" s="567">
        <f t="shared" si="51"/>
        <v>1371598.44</v>
      </c>
      <c r="AC76" s="567">
        <f t="shared" si="51"/>
        <v>1371598.44</v>
      </c>
      <c r="AD76" s="567">
        <f t="shared" si="51"/>
        <v>1371598.44</v>
      </c>
      <c r="AE76" s="567">
        <f t="shared" si="51"/>
        <v>1371598.44</v>
      </c>
      <c r="AF76" s="567">
        <f t="shared" si="51"/>
        <v>1371598.44</v>
      </c>
      <c r="AG76" s="567">
        <f t="shared" si="51"/>
        <v>1371598.44</v>
      </c>
      <c r="AH76" s="567">
        <f>AH35+AH56</f>
        <v>1371598.44</v>
      </c>
      <c r="AK76" s="110"/>
      <c r="AM76" s="110"/>
      <c r="AO76" s="110"/>
      <c r="AQ76" s="110"/>
    </row>
    <row r="77" spans="1:43" x14ac:dyDescent="0.2">
      <c r="A77" s="30" t="s">
        <v>445</v>
      </c>
      <c r="B77" s="568">
        <f>1/'Kopējie pieņēmumi'!$B$30</f>
        <v>0.02</v>
      </c>
      <c r="C77" s="568">
        <f>B77</f>
        <v>0.02</v>
      </c>
      <c r="D77" s="568">
        <f t="shared" ref="D77:AH77" si="52">C77</f>
        <v>0.02</v>
      </c>
      <c r="E77" s="568">
        <f t="shared" si="52"/>
        <v>0.02</v>
      </c>
      <c r="F77" s="568">
        <f t="shared" si="52"/>
        <v>0.02</v>
      </c>
      <c r="G77" s="568">
        <f t="shared" si="52"/>
        <v>0.02</v>
      </c>
      <c r="H77" s="568">
        <f t="shared" si="52"/>
        <v>0.02</v>
      </c>
      <c r="I77" s="568">
        <f t="shared" si="52"/>
        <v>0.02</v>
      </c>
      <c r="J77" s="568">
        <f t="shared" si="52"/>
        <v>0.02</v>
      </c>
      <c r="K77" s="568">
        <f t="shared" si="52"/>
        <v>0.02</v>
      </c>
      <c r="L77" s="568">
        <f t="shared" si="52"/>
        <v>0.02</v>
      </c>
      <c r="M77" s="568">
        <f t="shared" si="52"/>
        <v>0.02</v>
      </c>
      <c r="N77" s="568">
        <f t="shared" si="52"/>
        <v>0.02</v>
      </c>
      <c r="O77" s="568">
        <f t="shared" si="52"/>
        <v>0.02</v>
      </c>
      <c r="P77" s="568">
        <f t="shared" si="52"/>
        <v>0.02</v>
      </c>
      <c r="Q77" s="568">
        <f t="shared" si="52"/>
        <v>0.02</v>
      </c>
      <c r="R77" s="568">
        <f t="shared" si="52"/>
        <v>0.02</v>
      </c>
      <c r="S77" s="568">
        <f t="shared" si="52"/>
        <v>0.02</v>
      </c>
      <c r="T77" s="568">
        <f t="shared" si="52"/>
        <v>0.02</v>
      </c>
      <c r="U77" s="568">
        <f t="shared" si="52"/>
        <v>0.02</v>
      </c>
      <c r="V77" s="568">
        <f t="shared" si="52"/>
        <v>0.02</v>
      </c>
      <c r="W77" s="568">
        <f t="shared" si="52"/>
        <v>0.02</v>
      </c>
      <c r="X77" s="568">
        <f t="shared" si="52"/>
        <v>0.02</v>
      </c>
      <c r="Y77" s="568">
        <f t="shared" si="52"/>
        <v>0.02</v>
      </c>
      <c r="Z77" s="568">
        <f t="shared" si="52"/>
        <v>0.02</v>
      </c>
      <c r="AA77" s="568">
        <f t="shared" si="52"/>
        <v>0.02</v>
      </c>
      <c r="AB77" s="568">
        <f t="shared" si="52"/>
        <v>0.02</v>
      </c>
      <c r="AC77" s="568">
        <f t="shared" si="52"/>
        <v>0.02</v>
      </c>
      <c r="AD77" s="568">
        <f t="shared" si="52"/>
        <v>0.02</v>
      </c>
      <c r="AE77" s="568">
        <f t="shared" si="52"/>
        <v>0.02</v>
      </c>
      <c r="AF77" s="568">
        <f t="shared" si="52"/>
        <v>0.02</v>
      </c>
      <c r="AG77" s="568">
        <f t="shared" si="52"/>
        <v>0.02</v>
      </c>
      <c r="AH77" s="568">
        <f t="shared" si="52"/>
        <v>0.02</v>
      </c>
      <c r="AK77" s="110"/>
      <c r="AM77" s="110"/>
      <c r="AO77" s="110"/>
      <c r="AQ77" s="110"/>
    </row>
    <row r="78" spans="1:43" x14ac:dyDescent="0.2">
      <c r="A78" s="30" t="s">
        <v>446</v>
      </c>
      <c r="B78" s="524">
        <v>0</v>
      </c>
      <c r="C78" s="567">
        <f t="shared" ref="C78:AG78" si="53">IF(B80&gt;0,IF(C76-B76&gt;0,0,C77*C76),0)</f>
        <v>0</v>
      </c>
      <c r="D78" s="567">
        <f t="shared" si="53"/>
        <v>27431.968799999999</v>
      </c>
      <c r="E78" s="567">
        <f t="shared" si="53"/>
        <v>27431.968799999999</v>
      </c>
      <c r="F78" s="567">
        <f t="shared" si="53"/>
        <v>27431.968799999999</v>
      </c>
      <c r="G78" s="567">
        <f t="shared" si="53"/>
        <v>27431.968799999999</v>
      </c>
      <c r="H78" s="567">
        <f t="shared" si="53"/>
        <v>27431.968799999999</v>
      </c>
      <c r="I78" s="567">
        <f t="shared" si="53"/>
        <v>27431.968799999999</v>
      </c>
      <c r="J78" s="567">
        <f t="shared" si="53"/>
        <v>27431.968799999999</v>
      </c>
      <c r="K78" s="567">
        <f t="shared" si="53"/>
        <v>27431.968799999999</v>
      </c>
      <c r="L78" s="567">
        <f t="shared" si="53"/>
        <v>27431.968799999999</v>
      </c>
      <c r="M78" s="567">
        <f t="shared" si="53"/>
        <v>27431.968799999999</v>
      </c>
      <c r="N78" s="567">
        <f t="shared" si="53"/>
        <v>27431.968799999999</v>
      </c>
      <c r="O78" s="567">
        <f t="shared" si="53"/>
        <v>27431.968799999999</v>
      </c>
      <c r="P78" s="567">
        <f t="shared" si="53"/>
        <v>27431.968799999999</v>
      </c>
      <c r="Q78" s="567">
        <f t="shared" si="53"/>
        <v>27431.968799999999</v>
      </c>
      <c r="R78" s="567">
        <f t="shared" si="53"/>
        <v>27431.968799999999</v>
      </c>
      <c r="S78" s="567">
        <f t="shared" si="53"/>
        <v>27431.968799999999</v>
      </c>
      <c r="T78" s="567">
        <f t="shared" si="53"/>
        <v>27431.968799999999</v>
      </c>
      <c r="U78" s="567">
        <f t="shared" si="53"/>
        <v>27431.968799999999</v>
      </c>
      <c r="V78" s="567">
        <f t="shared" si="53"/>
        <v>27431.968799999999</v>
      </c>
      <c r="W78" s="567">
        <f t="shared" si="53"/>
        <v>27431.968799999999</v>
      </c>
      <c r="X78" s="567">
        <f t="shared" si="53"/>
        <v>27431.968799999999</v>
      </c>
      <c r="Y78" s="567">
        <f t="shared" si="53"/>
        <v>27431.968799999999</v>
      </c>
      <c r="Z78" s="567">
        <f t="shared" si="53"/>
        <v>27431.968799999999</v>
      </c>
      <c r="AA78" s="567">
        <f t="shared" si="53"/>
        <v>27431.968799999999</v>
      </c>
      <c r="AB78" s="567">
        <f t="shared" si="53"/>
        <v>27431.968799999999</v>
      </c>
      <c r="AC78" s="567">
        <f t="shared" si="53"/>
        <v>27431.968799999999</v>
      </c>
      <c r="AD78" s="567">
        <f t="shared" si="53"/>
        <v>27431.968799999999</v>
      </c>
      <c r="AE78" s="567">
        <f t="shared" si="53"/>
        <v>27431.968799999999</v>
      </c>
      <c r="AF78" s="567">
        <f t="shared" si="53"/>
        <v>27431.968799999999</v>
      </c>
      <c r="AG78" s="567">
        <f t="shared" si="53"/>
        <v>27431.968799999999</v>
      </c>
      <c r="AH78" s="567">
        <f>IF(AG80&gt;0,IF(AH76-AG76&gt;0,0,AH77*AH76),0)</f>
        <v>27431.968799999999</v>
      </c>
      <c r="AK78" s="110"/>
      <c r="AM78" s="110"/>
      <c r="AO78" s="110"/>
      <c r="AQ78" s="110"/>
    </row>
    <row r="79" spans="1:43" x14ac:dyDescent="0.2">
      <c r="A79" s="30" t="s">
        <v>447</v>
      </c>
      <c r="B79" s="567">
        <f>B78</f>
        <v>0</v>
      </c>
      <c r="C79" s="567">
        <f t="shared" ref="C79:AG79" si="54">C78+B79</f>
        <v>0</v>
      </c>
      <c r="D79" s="567">
        <f t="shared" si="54"/>
        <v>27431.968799999999</v>
      </c>
      <c r="E79" s="567">
        <f t="shared" si="54"/>
        <v>54863.937599999997</v>
      </c>
      <c r="F79" s="567">
        <f t="shared" si="54"/>
        <v>82295.906399999993</v>
      </c>
      <c r="G79" s="567">
        <f t="shared" si="54"/>
        <v>109727.87519999999</v>
      </c>
      <c r="H79" s="567">
        <f t="shared" si="54"/>
        <v>137159.84399999998</v>
      </c>
      <c r="I79" s="567">
        <f t="shared" si="54"/>
        <v>164591.81279999999</v>
      </c>
      <c r="J79" s="567">
        <f t="shared" si="54"/>
        <v>192023.78159999999</v>
      </c>
      <c r="K79" s="567">
        <f t="shared" si="54"/>
        <v>219455.75039999999</v>
      </c>
      <c r="L79" s="567">
        <f t="shared" si="54"/>
        <v>246887.71919999999</v>
      </c>
      <c r="M79" s="567">
        <f t="shared" si="54"/>
        <v>274319.68799999997</v>
      </c>
      <c r="N79" s="567">
        <f t="shared" si="54"/>
        <v>301751.65679999994</v>
      </c>
      <c r="O79" s="567">
        <f t="shared" si="54"/>
        <v>329183.62559999991</v>
      </c>
      <c r="P79" s="567">
        <f t="shared" si="54"/>
        <v>356615.59439999989</v>
      </c>
      <c r="Q79" s="567">
        <f t="shared" si="54"/>
        <v>384047.56319999986</v>
      </c>
      <c r="R79" s="567">
        <f t="shared" si="54"/>
        <v>411479.53199999983</v>
      </c>
      <c r="S79" s="567">
        <f t="shared" si="54"/>
        <v>438911.50079999981</v>
      </c>
      <c r="T79" s="567">
        <f t="shared" si="54"/>
        <v>466343.46959999978</v>
      </c>
      <c r="U79" s="567">
        <f t="shared" si="54"/>
        <v>493775.43839999975</v>
      </c>
      <c r="V79" s="567">
        <f t="shared" si="54"/>
        <v>521207.40719999972</v>
      </c>
      <c r="W79" s="567">
        <f t="shared" si="54"/>
        <v>548639.3759999997</v>
      </c>
      <c r="X79" s="567">
        <f t="shared" si="54"/>
        <v>576071.34479999973</v>
      </c>
      <c r="Y79" s="567">
        <f t="shared" si="54"/>
        <v>603503.31359999976</v>
      </c>
      <c r="Z79" s="567">
        <f t="shared" si="54"/>
        <v>630935.28239999979</v>
      </c>
      <c r="AA79" s="567">
        <f t="shared" si="54"/>
        <v>658367.25119999982</v>
      </c>
      <c r="AB79" s="567">
        <f t="shared" si="54"/>
        <v>685799.21999999986</v>
      </c>
      <c r="AC79" s="567">
        <f t="shared" si="54"/>
        <v>713231.18879999989</v>
      </c>
      <c r="AD79" s="567">
        <f t="shared" si="54"/>
        <v>740663.15759999992</v>
      </c>
      <c r="AE79" s="567">
        <f t="shared" si="54"/>
        <v>768095.12639999995</v>
      </c>
      <c r="AF79" s="567">
        <f t="shared" si="54"/>
        <v>795527.09519999998</v>
      </c>
      <c r="AG79" s="567">
        <f t="shared" si="54"/>
        <v>822959.06400000001</v>
      </c>
      <c r="AH79" s="567">
        <f>AH78+AG79</f>
        <v>850391.03280000004</v>
      </c>
      <c r="AK79" s="110"/>
      <c r="AM79" s="110"/>
      <c r="AO79" s="110"/>
      <c r="AQ79" s="110"/>
    </row>
    <row r="80" spans="1:43" x14ac:dyDescent="0.2">
      <c r="A80" s="30" t="s">
        <v>448</v>
      </c>
      <c r="B80" s="567">
        <f t="shared" ref="B80:AG80" si="55">ROUND(IF(B76-B79&gt;0,B76-B79,0),0)</f>
        <v>547761</v>
      </c>
      <c r="C80" s="567">
        <f t="shared" si="55"/>
        <v>1407894</v>
      </c>
      <c r="D80" s="567">
        <f t="shared" si="55"/>
        <v>1344166</v>
      </c>
      <c r="E80" s="567">
        <f t="shared" si="55"/>
        <v>1316735</v>
      </c>
      <c r="F80" s="567">
        <f t="shared" si="55"/>
        <v>1289303</v>
      </c>
      <c r="G80" s="567">
        <f t="shared" si="55"/>
        <v>1261871</v>
      </c>
      <c r="H80" s="567">
        <f t="shared" si="55"/>
        <v>1234439</v>
      </c>
      <c r="I80" s="567">
        <f t="shared" si="55"/>
        <v>1207007</v>
      </c>
      <c r="J80" s="567">
        <f t="shared" si="55"/>
        <v>1179575</v>
      </c>
      <c r="K80" s="567">
        <f t="shared" si="55"/>
        <v>1152143</v>
      </c>
      <c r="L80" s="567">
        <f t="shared" si="55"/>
        <v>1124711</v>
      </c>
      <c r="M80" s="567">
        <f t="shared" si="55"/>
        <v>1097279</v>
      </c>
      <c r="N80" s="567">
        <f t="shared" si="55"/>
        <v>1069847</v>
      </c>
      <c r="O80" s="567">
        <f t="shared" si="55"/>
        <v>1042415</v>
      </c>
      <c r="P80" s="567">
        <f t="shared" si="55"/>
        <v>1014983</v>
      </c>
      <c r="Q80" s="567">
        <f t="shared" si="55"/>
        <v>987551</v>
      </c>
      <c r="R80" s="567">
        <f t="shared" si="55"/>
        <v>960119</v>
      </c>
      <c r="S80" s="567">
        <f t="shared" si="55"/>
        <v>932687</v>
      </c>
      <c r="T80" s="567">
        <f t="shared" si="55"/>
        <v>905255</v>
      </c>
      <c r="U80" s="567">
        <f t="shared" si="55"/>
        <v>877823</v>
      </c>
      <c r="V80" s="567">
        <f t="shared" si="55"/>
        <v>850391</v>
      </c>
      <c r="W80" s="567">
        <f t="shared" si="55"/>
        <v>822959</v>
      </c>
      <c r="X80" s="567">
        <f t="shared" si="55"/>
        <v>795527</v>
      </c>
      <c r="Y80" s="567">
        <f t="shared" si="55"/>
        <v>768095</v>
      </c>
      <c r="Z80" s="567">
        <f t="shared" si="55"/>
        <v>740663</v>
      </c>
      <c r="AA80" s="567">
        <f t="shared" si="55"/>
        <v>713231</v>
      </c>
      <c r="AB80" s="567">
        <f t="shared" si="55"/>
        <v>685799</v>
      </c>
      <c r="AC80" s="567">
        <f t="shared" si="55"/>
        <v>658367</v>
      </c>
      <c r="AD80" s="567">
        <f t="shared" si="55"/>
        <v>630935</v>
      </c>
      <c r="AE80" s="567">
        <f t="shared" si="55"/>
        <v>603503</v>
      </c>
      <c r="AF80" s="567">
        <f t="shared" si="55"/>
        <v>576071</v>
      </c>
      <c r="AG80" s="567">
        <f t="shared" si="55"/>
        <v>548639</v>
      </c>
      <c r="AH80" s="567">
        <f>ROUND(IF(AH76-AH79&gt;0,AH76-AH79,0),0)</f>
        <v>521207</v>
      </c>
      <c r="AK80" s="110"/>
      <c r="AM80" s="110"/>
      <c r="AO80" s="110"/>
      <c r="AQ80" s="110"/>
    </row>
    <row r="81" spans="1:43" x14ac:dyDescent="0.2">
      <c r="A81" s="60" t="s">
        <v>238</v>
      </c>
      <c r="B81" s="524"/>
      <c r="C81" s="524"/>
      <c r="D81" s="524"/>
      <c r="E81" s="524"/>
      <c r="F81" s="524"/>
      <c r="G81" s="524"/>
      <c r="H81" s="524"/>
      <c r="I81" s="524"/>
      <c r="J81" s="524"/>
      <c r="K81" s="524"/>
      <c r="L81" s="524"/>
      <c r="M81" s="524"/>
      <c r="N81" s="524"/>
      <c r="O81" s="524"/>
      <c r="P81" s="524"/>
      <c r="Q81" s="524"/>
      <c r="R81" s="524"/>
      <c r="S81" s="524"/>
      <c r="T81" s="524"/>
      <c r="U81" s="524"/>
      <c r="V81" s="524"/>
      <c r="W81" s="524"/>
      <c r="X81" s="524"/>
      <c r="Y81" s="524"/>
      <c r="Z81" s="524"/>
      <c r="AA81" s="524"/>
      <c r="AB81" s="524"/>
      <c r="AC81" s="524"/>
      <c r="AD81" s="524"/>
      <c r="AE81" s="524"/>
      <c r="AF81" s="524"/>
      <c r="AG81" s="524"/>
      <c r="AH81" s="524"/>
      <c r="AK81" s="110"/>
      <c r="AM81" s="110"/>
      <c r="AO81" s="110"/>
      <c r="AQ81" s="110"/>
    </row>
    <row r="82" spans="1:43" x14ac:dyDescent="0.2">
      <c r="A82" s="30" t="s">
        <v>444</v>
      </c>
      <c r="B82" s="567">
        <f>B41+B62</f>
        <v>0</v>
      </c>
      <c r="C82" s="567">
        <f t="shared" ref="C82:AG82" si="56">C41+C62</f>
        <v>0</v>
      </c>
      <c r="D82" s="567">
        <f t="shared" si="56"/>
        <v>0</v>
      </c>
      <c r="E82" s="567">
        <f t="shared" si="56"/>
        <v>0</v>
      </c>
      <c r="F82" s="567">
        <f t="shared" si="56"/>
        <v>0</v>
      </c>
      <c r="G82" s="567">
        <f t="shared" si="56"/>
        <v>0</v>
      </c>
      <c r="H82" s="567">
        <f t="shared" si="56"/>
        <v>0</v>
      </c>
      <c r="I82" s="567">
        <f t="shared" si="56"/>
        <v>0</v>
      </c>
      <c r="J82" s="567">
        <f t="shared" si="56"/>
        <v>0</v>
      </c>
      <c r="K82" s="567">
        <f t="shared" si="56"/>
        <v>0</v>
      </c>
      <c r="L82" s="567">
        <f t="shared" si="56"/>
        <v>0</v>
      </c>
      <c r="M82" s="567">
        <f t="shared" si="56"/>
        <v>0</v>
      </c>
      <c r="N82" s="567">
        <f t="shared" si="56"/>
        <v>0</v>
      </c>
      <c r="O82" s="567">
        <f t="shared" si="56"/>
        <v>0</v>
      </c>
      <c r="P82" s="567">
        <f t="shared" si="56"/>
        <v>0</v>
      </c>
      <c r="Q82" s="567">
        <f t="shared" si="56"/>
        <v>0</v>
      </c>
      <c r="R82" s="567">
        <f t="shared" si="56"/>
        <v>0</v>
      </c>
      <c r="S82" s="567">
        <f t="shared" si="56"/>
        <v>0</v>
      </c>
      <c r="T82" s="567">
        <f t="shared" si="56"/>
        <v>0</v>
      </c>
      <c r="U82" s="567">
        <f t="shared" si="56"/>
        <v>0</v>
      </c>
      <c r="V82" s="567">
        <f t="shared" si="56"/>
        <v>0</v>
      </c>
      <c r="W82" s="567">
        <f t="shared" si="56"/>
        <v>0</v>
      </c>
      <c r="X82" s="567">
        <f t="shared" si="56"/>
        <v>0</v>
      </c>
      <c r="Y82" s="567">
        <f t="shared" si="56"/>
        <v>0</v>
      </c>
      <c r="Z82" s="567">
        <f t="shared" si="56"/>
        <v>0</v>
      </c>
      <c r="AA82" s="567">
        <f t="shared" si="56"/>
        <v>0</v>
      </c>
      <c r="AB82" s="567">
        <f t="shared" si="56"/>
        <v>0</v>
      </c>
      <c r="AC82" s="567">
        <f t="shared" si="56"/>
        <v>0</v>
      </c>
      <c r="AD82" s="567">
        <f t="shared" si="56"/>
        <v>0</v>
      </c>
      <c r="AE82" s="567">
        <f t="shared" si="56"/>
        <v>0</v>
      </c>
      <c r="AF82" s="567">
        <f t="shared" si="56"/>
        <v>0</v>
      </c>
      <c r="AG82" s="567">
        <f t="shared" si="56"/>
        <v>0</v>
      </c>
      <c r="AH82" s="567">
        <f>AH41+AH62</f>
        <v>0</v>
      </c>
      <c r="AK82" s="110"/>
      <c r="AM82" s="110"/>
      <c r="AO82" s="110"/>
      <c r="AQ82" s="110"/>
    </row>
    <row r="83" spans="1:43" x14ac:dyDescent="0.2">
      <c r="A83" s="30" t="s">
        <v>445</v>
      </c>
      <c r="B83" s="568">
        <f>1/'Kopējie pieņēmumi'!$B$31</f>
        <v>0.1</v>
      </c>
      <c r="C83" s="568">
        <f>B83</f>
        <v>0.1</v>
      </c>
      <c r="D83" s="568">
        <f t="shared" ref="D83:AH83" si="57">C83</f>
        <v>0.1</v>
      </c>
      <c r="E83" s="568">
        <f t="shared" si="57"/>
        <v>0.1</v>
      </c>
      <c r="F83" s="568">
        <f t="shared" si="57"/>
        <v>0.1</v>
      </c>
      <c r="G83" s="568">
        <f t="shared" si="57"/>
        <v>0.1</v>
      </c>
      <c r="H83" s="568">
        <f t="shared" si="57"/>
        <v>0.1</v>
      </c>
      <c r="I83" s="568">
        <f t="shared" si="57"/>
        <v>0.1</v>
      </c>
      <c r="J83" s="568">
        <f t="shared" si="57"/>
        <v>0.1</v>
      </c>
      <c r="K83" s="568">
        <f t="shared" si="57"/>
        <v>0.1</v>
      </c>
      <c r="L83" s="568">
        <f t="shared" si="57"/>
        <v>0.1</v>
      </c>
      <c r="M83" s="568">
        <f t="shared" si="57"/>
        <v>0.1</v>
      </c>
      <c r="N83" s="568">
        <f t="shared" si="57"/>
        <v>0.1</v>
      </c>
      <c r="O83" s="568">
        <f t="shared" si="57"/>
        <v>0.1</v>
      </c>
      <c r="P83" s="568">
        <f t="shared" si="57"/>
        <v>0.1</v>
      </c>
      <c r="Q83" s="568">
        <f t="shared" si="57"/>
        <v>0.1</v>
      </c>
      <c r="R83" s="568">
        <f t="shared" si="57"/>
        <v>0.1</v>
      </c>
      <c r="S83" s="568">
        <f t="shared" si="57"/>
        <v>0.1</v>
      </c>
      <c r="T83" s="568">
        <f t="shared" si="57"/>
        <v>0.1</v>
      </c>
      <c r="U83" s="568">
        <f t="shared" si="57"/>
        <v>0.1</v>
      </c>
      <c r="V83" s="568">
        <f t="shared" si="57"/>
        <v>0.1</v>
      </c>
      <c r="W83" s="568">
        <f t="shared" si="57"/>
        <v>0.1</v>
      </c>
      <c r="X83" s="568">
        <f t="shared" si="57"/>
        <v>0.1</v>
      </c>
      <c r="Y83" s="568">
        <f t="shared" si="57"/>
        <v>0.1</v>
      </c>
      <c r="Z83" s="568">
        <f t="shared" si="57"/>
        <v>0.1</v>
      </c>
      <c r="AA83" s="568">
        <f t="shared" si="57"/>
        <v>0.1</v>
      </c>
      <c r="AB83" s="568">
        <f t="shared" si="57"/>
        <v>0.1</v>
      </c>
      <c r="AC83" s="568">
        <f t="shared" si="57"/>
        <v>0.1</v>
      </c>
      <c r="AD83" s="568">
        <f t="shared" si="57"/>
        <v>0.1</v>
      </c>
      <c r="AE83" s="568">
        <f t="shared" si="57"/>
        <v>0.1</v>
      </c>
      <c r="AF83" s="568">
        <f t="shared" si="57"/>
        <v>0.1</v>
      </c>
      <c r="AG83" s="568">
        <f t="shared" si="57"/>
        <v>0.1</v>
      </c>
      <c r="AH83" s="568">
        <f t="shared" si="57"/>
        <v>0.1</v>
      </c>
      <c r="AK83" s="110"/>
      <c r="AM83" s="110"/>
      <c r="AO83" s="110"/>
      <c r="AQ83" s="110"/>
    </row>
    <row r="84" spans="1:43" x14ac:dyDescent="0.2">
      <c r="A84" s="30" t="s">
        <v>446</v>
      </c>
      <c r="B84" s="524">
        <v>0</v>
      </c>
      <c r="C84" s="567">
        <f t="shared" ref="C84:AG84" si="58">IF(B86&gt;0,IF(C82-B82&gt;0,0,C83*C82),0)</f>
        <v>0</v>
      </c>
      <c r="D84" s="567">
        <f t="shared" si="58"/>
        <v>0</v>
      </c>
      <c r="E84" s="567">
        <f t="shared" si="58"/>
        <v>0</v>
      </c>
      <c r="F84" s="567">
        <f t="shared" si="58"/>
        <v>0</v>
      </c>
      <c r="G84" s="567">
        <f t="shared" si="58"/>
        <v>0</v>
      </c>
      <c r="H84" s="567">
        <f t="shared" si="58"/>
        <v>0</v>
      </c>
      <c r="I84" s="567">
        <f t="shared" si="58"/>
        <v>0</v>
      </c>
      <c r="J84" s="567">
        <f t="shared" si="58"/>
        <v>0</v>
      </c>
      <c r="K84" s="567">
        <f t="shared" si="58"/>
        <v>0</v>
      </c>
      <c r="L84" s="567">
        <f t="shared" si="58"/>
        <v>0</v>
      </c>
      <c r="M84" s="567">
        <f t="shared" si="58"/>
        <v>0</v>
      </c>
      <c r="N84" s="567">
        <f t="shared" si="58"/>
        <v>0</v>
      </c>
      <c r="O84" s="567">
        <f t="shared" si="58"/>
        <v>0</v>
      </c>
      <c r="P84" s="567">
        <f t="shared" si="58"/>
        <v>0</v>
      </c>
      <c r="Q84" s="567">
        <f t="shared" si="58"/>
        <v>0</v>
      </c>
      <c r="R84" s="567">
        <f t="shared" si="58"/>
        <v>0</v>
      </c>
      <c r="S84" s="567">
        <f t="shared" si="58"/>
        <v>0</v>
      </c>
      <c r="T84" s="567">
        <f t="shared" si="58"/>
        <v>0</v>
      </c>
      <c r="U84" s="567">
        <f t="shared" si="58"/>
        <v>0</v>
      </c>
      <c r="V84" s="567">
        <f t="shared" si="58"/>
        <v>0</v>
      </c>
      <c r="W84" s="567">
        <f t="shared" si="58"/>
        <v>0</v>
      </c>
      <c r="X84" s="567">
        <f t="shared" si="58"/>
        <v>0</v>
      </c>
      <c r="Y84" s="567">
        <f t="shared" si="58"/>
        <v>0</v>
      </c>
      <c r="Z84" s="567">
        <f t="shared" si="58"/>
        <v>0</v>
      </c>
      <c r="AA84" s="567">
        <f t="shared" si="58"/>
        <v>0</v>
      </c>
      <c r="AB84" s="567">
        <f t="shared" si="58"/>
        <v>0</v>
      </c>
      <c r="AC84" s="567">
        <f t="shared" si="58"/>
        <v>0</v>
      </c>
      <c r="AD84" s="567">
        <f t="shared" si="58"/>
        <v>0</v>
      </c>
      <c r="AE84" s="567">
        <f t="shared" si="58"/>
        <v>0</v>
      </c>
      <c r="AF84" s="567">
        <f t="shared" si="58"/>
        <v>0</v>
      </c>
      <c r="AG84" s="567">
        <f t="shared" si="58"/>
        <v>0</v>
      </c>
      <c r="AH84" s="567">
        <f>IF(AG86&gt;0,IF(AH82-AG82&gt;0,0,AH83*AH82),0)</f>
        <v>0</v>
      </c>
      <c r="AK84" s="110"/>
      <c r="AM84" s="110"/>
      <c r="AO84" s="110"/>
      <c r="AQ84" s="110"/>
    </row>
    <row r="85" spans="1:43" x14ac:dyDescent="0.2">
      <c r="A85" s="30" t="s">
        <v>447</v>
      </c>
      <c r="B85" s="567">
        <f>B84</f>
        <v>0</v>
      </c>
      <c r="C85" s="567">
        <f t="shared" ref="C85:AG85" si="59">C84+B85</f>
        <v>0</v>
      </c>
      <c r="D85" s="567">
        <f t="shared" si="59"/>
        <v>0</v>
      </c>
      <c r="E85" s="567">
        <f t="shared" si="59"/>
        <v>0</v>
      </c>
      <c r="F85" s="567">
        <f t="shared" si="59"/>
        <v>0</v>
      </c>
      <c r="G85" s="567">
        <f t="shared" si="59"/>
        <v>0</v>
      </c>
      <c r="H85" s="567">
        <f t="shared" si="59"/>
        <v>0</v>
      </c>
      <c r="I85" s="567">
        <f t="shared" si="59"/>
        <v>0</v>
      </c>
      <c r="J85" s="567">
        <f t="shared" si="59"/>
        <v>0</v>
      </c>
      <c r="K85" s="567">
        <f t="shared" si="59"/>
        <v>0</v>
      </c>
      <c r="L85" s="567">
        <f t="shared" si="59"/>
        <v>0</v>
      </c>
      <c r="M85" s="567">
        <f t="shared" si="59"/>
        <v>0</v>
      </c>
      <c r="N85" s="567">
        <f t="shared" si="59"/>
        <v>0</v>
      </c>
      <c r="O85" s="567">
        <f t="shared" si="59"/>
        <v>0</v>
      </c>
      <c r="P85" s="567">
        <f t="shared" si="59"/>
        <v>0</v>
      </c>
      <c r="Q85" s="567">
        <f t="shared" si="59"/>
        <v>0</v>
      </c>
      <c r="R85" s="567">
        <f t="shared" si="59"/>
        <v>0</v>
      </c>
      <c r="S85" s="567">
        <f t="shared" si="59"/>
        <v>0</v>
      </c>
      <c r="T85" s="567">
        <f t="shared" si="59"/>
        <v>0</v>
      </c>
      <c r="U85" s="567">
        <f t="shared" si="59"/>
        <v>0</v>
      </c>
      <c r="V85" s="567">
        <f t="shared" si="59"/>
        <v>0</v>
      </c>
      <c r="W85" s="567">
        <f t="shared" si="59"/>
        <v>0</v>
      </c>
      <c r="X85" s="567">
        <f t="shared" si="59"/>
        <v>0</v>
      </c>
      <c r="Y85" s="567">
        <f t="shared" si="59"/>
        <v>0</v>
      </c>
      <c r="Z85" s="567">
        <f t="shared" si="59"/>
        <v>0</v>
      </c>
      <c r="AA85" s="567">
        <f t="shared" si="59"/>
        <v>0</v>
      </c>
      <c r="AB85" s="567">
        <f t="shared" si="59"/>
        <v>0</v>
      </c>
      <c r="AC85" s="567">
        <f t="shared" si="59"/>
        <v>0</v>
      </c>
      <c r="AD85" s="567">
        <f t="shared" si="59"/>
        <v>0</v>
      </c>
      <c r="AE85" s="567">
        <f t="shared" si="59"/>
        <v>0</v>
      </c>
      <c r="AF85" s="567">
        <f t="shared" si="59"/>
        <v>0</v>
      </c>
      <c r="AG85" s="567">
        <f t="shared" si="59"/>
        <v>0</v>
      </c>
      <c r="AH85" s="567">
        <f>AH84+AG85</f>
        <v>0</v>
      </c>
      <c r="AK85" s="110"/>
      <c r="AM85" s="110"/>
      <c r="AO85" s="110"/>
      <c r="AQ85" s="110"/>
    </row>
    <row r="86" spans="1:43" x14ac:dyDescent="0.2">
      <c r="A86" s="30" t="s">
        <v>448</v>
      </c>
      <c r="B86" s="567">
        <f t="shared" ref="B86:AG86" si="60">ROUND(IF(B82-B85&gt;0,B82-B85,0),0)</f>
        <v>0</v>
      </c>
      <c r="C86" s="567">
        <f t="shared" si="60"/>
        <v>0</v>
      </c>
      <c r="D86" s="567">
        <f t="shared" si="60"/>
        <v>0</v>
      </c>
      <c r="E86" s="567">
        <f t="shared" si="60"/>
        <v>0</v>
      </c>
      <c r="F86" s="567">
        <f t="shared" si="60"/>
        <v>0</v>
      </c>
      <c r="G86" s="567">
        <f t="shared" si="60"/>
        <v>0</v>
      </c>
      <c r="H86" s="567">
        <f t="shared" si="60"/>
        <v>0</v>
      </c>
      <c r="I86" s="567">
        <f t="shared" si="60"/>
        <v>0</v>
      </c>
      <c r="J86" s="567">
        <f t="shared" si="60"/>
        <v>0</v>
      </c>
      <c r="K86" s="567">
        <f t="shared" si="60"/>
        <v>0</v>
      </c>
      <c r="L86" s="567">
        <f t="shared" si="60"/>
        <v>0</v>
      </c>
      <c r="M86" s="567">
        <f t="shared" si="60"/>
        <v>0</v>
      </c>
      <c r="N86" s="567">
        <f t="shared" si="60"/>
        <v>0</v>
      </c>
      <c r="O86" s="567">
        <f t="shared" si="60"/>
        <v>0</v>
      </c>
      <c r="P86" s="567">
        <f t="shared" si="60"/>
        <v>0</v>
      </c>
      <c r="Q86" s="567">
        <f t="shared" si="60"/>
        <v>0</v>
      </c>
      <c r="R86" s="567">
        <f t="shared" si="60"/>
        <v>0</v>
      </c>
      <c r="S86" s="567">
        <f t="shared" si="60"/>
        <v>0</v>
      </c>
      <c r="T86" s="567">
        <f t="shared" si="60"/>
        <v>0</v>
      </c>
      <c r="U86" s="567">
        <f t="shared" si="60"/>
        <v>0</v>
      </c>
      <c r="V86" s="567">
        <f t="shared" si="60"/>
        <v>0</v>
      </c>
      <c r="W86" s="567">
        <f t="shared" si="60"/>
        <v>0</v>
      </c>
      <c r="X86" s="567">
        <f t="shared" si="60"/>
        <v>0</v>
      </c>
      <c r="Y86" s="567">
        <f t="shared" si="60"/>
        <v>0</v>
      </c>
      <c r="Z86" s="567">
        <f t="shared" si="60"/>
        <v>0</v>
      </c>
      <c r="AA86" s="567">
        <f t="shared" si="60"/>
        <v>0</v>
      </c>
      <c r="AB86" s="567">
        <f t="shared" si="60"/>
        <v>0</v>
      </c>
      <c r="AC86" s="567">
        <f t="shared" si="60"/>
        <v>0</v>
      </c>
      <c r="AD86" s="567">
        <f t="shared" si="60"/>
        <v>0</v>
      </c>
      <c r="AE86" s="567">
        <f t="shared" si="60"/>
        <v>0</v>
      </c>
      <c r="AF86" s="567">
        <f t="shared" si="60"/>
        <v>0</v>
      </c>
      <c r="AG86" s="567">
        <f t="shared" si="60"/>
        <v>0</v>
      </c>
      <c r="AH86" s="567">
        <f>ROUND(IF(AH82-AH85&gt;0,AH82-AH85,0),0)</f>
        <v>0</v>
      </c>
      <c r="AK86" s="110"/>
      <c r="AM86" s="110"/>
      <c r="AO86" s="110"/>
      <c r="AQ86" s="110"/>
    </row>
    <row r="87" spans="1:43" x14ac:dyDescent="0.2">
      <c r="A87" s="60" t="s">
        <v>239</v>
      </c>
      <c r="B87" s="524"/>
      <c r="C87" s="524"/>
      <c r="D87" s="524"/>
      <c r="E87" s="524"/>
      <c r="F87" s="524"/>
      <c r="G87" s="524"/>
      <c r="H87" s="524"/>
      <c r="I87" s="524"/>
      <c r="J87" s="524"/>
      <c r="K87" s="524"/>
      <c r="L87" s="524"/>
      <c r="M87" s="524"/>
      <c r="N87" s="524"/>
      <c r="O87" s="524"/>
      <c r="P87" s="524"/>
      <c r="Q87" s="524"/>
      <c r="R87" s="524"/>
      <c r="S87" s="524"/>
      <c r="T87" s="524"/>
      <c r="U87" s="524"/>
      <c r="V87" s="524"/>
      <c r="W87" s="524"/>
      <c r="X87" s="524"/>
      <c r="Y87" s="524"/>
      <c r="Z87" s="524"/>
      <c r="AA87" s="524"/>
      <c r="AB87" s="524"/>
      <c r="AC87" s="524"/>
      <c r="AD87" s="524"/>
      <c r="AE87" s="524"/>
      <c r="AF87" s="524"/>
      <c r="AG87" s="524"/>
      <c r="AH87" s="524"/>
      <c r="AK87" s="110"/>
      <c r="AM87" s="110"/>
      <c r="AO87" s="110"/>
      <c r="AQ87" s="110"/>
    </row>
    <row r="88" spans="1:43" x14ac:dyDescent="0.2">
      <c r="A88" s="30" t="s">
        <v>444</v>
      </c>
      <c r="B88" s="567">
        <f>B47+B68</f>
        <v>44053.03</v>
      </c>
      <c r="C88" s="567">
        <f t="shared" ref="C88:AG88" si="61">C47+C68</f>
        <v>82000.83</v>
      </c>
      <c r="D88" s="567">
        <f t="shared" si="61"/>
        <v>94000.83</v>
      </c>
      <c r="E88" s="567">
        <f t="shared" si="61"/>
        <v>94000.83</v>
      </c>
      <c r="F88" s="567">
        <f t="shared" si="61"/>
        <v>94000.83</v>
      </c>
      <c r="G88" s="567">
        <f t="shared" si="61"/>
        <v>94000.83</v>
      </c>
      <c r="H88" s="567">
        <f t="shared" si="61"/>
        <v>94000.83</v>
      </c>
      <c r="I88" s="567">
        <f t="shared" si="61"/>
        <v>94000.83</v>
      </c>
      <c r="J88" s="567">
        <f t="shared" si="61"/>
        <v>94000.83</v>
      </c>
      <c r="K88" s="567">
        <f t="shared" si="61"/>
        <v>94000.83</v>
      </c>
      <c r="L88" s="567">
        <f t="shared" si="61"/>
        <v>94000.83</v>
      </c>
      <c r="M88" s="567">
        <f t="shared" si="61"/>
        <v>94000.83</v>
      </c>
      <c r="N88" s="567">
        <f t="shared" si="61"/>
        <v>94000.83</v>
      </c>
      <c r="O88" s="567">
        <f t="shared" si="61"/>
        <v>94000.83</v>
      </c>
      <c r="P88" s="567">
        <f t="shared" si="61"/>
        <v>94000.83</v>
      </c>
      <c r="Q88" s="567">
        <f t="shared" si="61"/>
        <v>94000.83</v>
      </c>
      <c r="R88" s="567">
        <f t="shared" si="61"/>
        <v>94000.83</v>
      </c>
      <c r="S88" s="567">
        <f t="shared" si="61"/>
        <v>94000.83</v>
      </c>
      <c r="T88" s="567">
        <f t="shared" si="61"/>
        <v>94000.83</v>
      </c>
      <c r="U88" s="567">
        <f t="shared" si="61"/>
        <v>94000.83</v>
      </c>
      <c r="V88" s="567">
        <f t="shared" si="61"/>
        <v>94000.83</v>
      </c>
      <c r="W88" s="567">
        <f t="shared" si="61"/>
        <v>94000.83</v>
      </c>
      <c r="X88" s="567">
        <f t="shared" si="61"/>
        <v>94000.83</v>
      </c>
      <c r="Y88" s="567">
        <f t="shared" si="61"/>
        <v>94000.83</v>
      </c>
      <c r="Z88" s="567">
        <f t="shared" si="61"/>
        <v>94000.83</v>
      </c>
      <c r="AA88" s="567">
        <f t="shared" si="61"/>
        <v>94000.83</v>
      </c>
      <c r="AB88" s="567">
        <f t="shared" si="61"/>
        <v>94000.83</v>
      </c>
      <c r="AC88" s="567">
        <f t="shared" si="61"/>
        <v>94000.83</v>
      </c>
      <c r="AD88" s="567">
        <f t="shared" si="61"/>
        <v>94000.83</v>
      </c>
      <c r="AE88" s="567">
        <f t="shared" si="61"/>
        <v>94000.83</v>
      </c>
      <c r="AF88" s="567">
        <f t="shared" si="61"/>
        <v>94000.83</v>
      </c>
      <c r="AG88" s="567">
        <f t="shared" si="61"/>
        <v>94000.83</v>
      </c>
      <c r="AH88" s="567">
        <f>AH47+AH68</f>
        <v>94000.83</v>
      </c>
      <c r="AK88" s="110"/>
      <c r="AM88" s="110"/>
      <c r="AO88" s="110"/>
      <c r="AQ88" s="110"/>
    </row>
    <row r="89" spans="1:43" x14ac:dyDescent="0.2">
      <c r="A89" s="30" t="s">
        <v>445</v>
      </c>
      <c r="B89" s="568">
        <f>1/'Kopējie pieņēmumi'!$B$32</f>
        <v>0.1</v>
      </c>
      <c r="C89" s="568">
        <f>B89</f>
        <v>0.1</v>
      </c>
      <c r="D89" s="568">
        <f t="shared" ref="D89:AH89" si="62">C89</f>
        <v>0.1</v>
      </c>
      <c r="E89" s="568">
        <f t="shared" si="62"/>
        <v>0.1</v>
      </c>
      <c r="F89" s="568">
        <f t="shared" si="62"/>
        <v>0.1</v>
      </c>
      <c r="G89" s="568">
        <f t="shared" si="62"/>
        <v>0.1</v>
      </c>
      <c r="H89" s="568">
        <f t="shared" si="62"/>
        <v>0.1</v>
      </c>
      <c r="I89" s="568">
        <f t="shared" si="62"/>
        <v>0.1</v>
      </c>
      <c r="J89" s="568">
        <f t="shared" si="62"/>
        <v>0.1</v>
      </c>
      <c r="K89" s="568">
        <f t="shared" si="62"/>
        <v>0.1</v>
      </c>
      <c r="L89" s="568">
        <f t="shared" si="62"/>
        <v>0.1</v>
      </c>
      <c r="M89" s="568">
        <f t="shared" si="62"/>
        <v>0.1</v>
      </c>
      <c r="N89" s="568">
        <f t="shared" si="62"/>
        <v>0.1</v>
      </c>
      <c r="O89" s="568">
        <f t="shared" si="62"/>
        <v>0.1</v>
      </c>
      <c r="P89" s="568">
        <f t="shared" si="62"/>
        <v>0.1</v>
      </c>
      <c r="Q89" s="568">
        <f t="shared" si="62"/>
        <v>0.1</v>
      </c>
      <c r="R89" s="568">
        <f t="shared" si="62"/>
        <v>0.1</v>
      </c>
      <c r="S89" s="568">
        <f t="shared" si="62"/>
        <v>0.1</v>
      </c>
      <c r="T89" s="568">
        <f t="shared" si="62"/>
        <v>0.1</v>
      </c>
      <c r="U89" s="568">
        <f t="shared" si="62"/>
        <v>0.1</v>
      </c>
      <c r="V89" s="568">
        <f t="shared" si="62"/>
        <v>0.1</v>
      </c>
      <c r="W89" s="568">
        <f t="shared" si="62"/>
        <v>0.1</v>
      </c>
      <c r="X89" s="568">
        <f t="shared" si="62"/>
        <v>0.1</v>
      </c>
      <c r="Y89" s="568">
        <f t="shared" si="62"/>
        <v>0.1</v>
      </c>
      <c r="Z89" s="568">
        <f t="shared" si="62"/>
        <v>0.1</v>
      </c>
      <c r="AA89" s="568">
        <f t="shared" si="62"/>
        <v>0.1</v>
      </c>
      <c r="AB89" s="568">
        <f t="shared" si="62"/>
        <v>0.1</v>
      </c>
      <c r="AC89" s="568">
        <f t="shared" si="62"/>
        <v>0.1</v>
      </c>
      <c r="AD89" s="568">
        <f t="shared" si="62"/>
        <v>0.1</v>
      </c>
      <c r="AE89" s="568">
        <f t="shared" si="62"/>
        <v>0.1</v>
      </c>
      <c r="AF89" s="568">
        <f t="shared" si="62"/>
        <v>0.1</v>
      </c>
      <c r="AG89" s="568">
        <f t="shared" si="62"/>
        <v>0.1</v>
      </c>
      <c r="AH89" s="568">
        <f t="shared" si="62"/>
        <v>0.1</v>
      </c>
      <c r="AK89" s="110"/>
      <c r="AM89" s="110"/>
      <c r="AO89" s="110"/>
      <c r="AQ89" s="110"/>
    </row>
    <row r="90" spans="1:43" x14ac:dyDescent="0.2">
      <c r="A90" s="30" t="s">
        <v>446</v>
      </c>
      <c r="B90" s="524">
        <v>0</v>
      </c>
      <c r="C90" s="567">
        <f t="shared" ref="C90:AG90" si="63">IF(B92&gt;0,IF(C88-B88&gt;0,0,C89*C88),0)</f>
        <v>0</v>
      </c>
      <c r="D90" s="567">
        <f t="shared" si="63"/>
        <v>0</v>
      </c>
      <c r="E90" s="567">
        <f t="shared" si="63"/>
        <v>9400.0830000000005</v>
      </c>
      <c r="F90" s="567">
        <f t="shared" si="63"/>
        <v>9400.0830000000005</v>
      </c>
      <c r="G90" s="567">
        <f t="shared" si="63"/>
        <v>9400.0830000000005</v>
      </c>
      <c r="H90" s="567">
        <f t="shared" si="63"/>
        <v>9400.0830000000005</v>
      </c>
      <c r="I90" s="567">
        <f t="shared" si="63"/>
        <v>9400.0830000000005</v>
      </c>
      <c r="J90" s="567">
        <f t="shared" si="63"/>
        <v>9400.0830000000005</v>
      </c>
      <c r="K90" s="567">
        <f t="shared" si="63"/>
        <v>9400.0830000000005</v>
      </c>
      <c r="L90" s="567">
        <f t="shared" si="63"/>
        <v>9400.0830000000005</v>
      </c>
      <c r="M90" s="567">
        <f t="shared" si="63"/>
        <v>9400.0830000000005</v>
      </c>
      <c r="N90" s="567">
        <f t="shared" si="63"/>
        <v>9400.0830000000005</v>
      </c>
      <c r="O90" s="567">
        <f t="shared" si="63"/>
        <v>0</v>
      </c>
      <c r="P90" s="567">
        <f t="shared" si="63"/>
        <v>0</v>
      </c>
      <c r="Q90" s="567">
        <f t="shared" si="63"/>
        <v>0</v>
      </c>
      <c r="R90" s="567">
        <f t="shared" si="63"/>
        <v>0</v>
      </c>
      <c r="S90" s="567">
        <f t="shared" si="63"/>
        <v>0</v>
      </c>
      <c r="T90" s="567">
        <f t="shared" si="63"/>
        <v>0</v>
      </c>
      <c r="U90" s="567">
        <f t="shared" si="63"/>
        <v>0</v>
      </c>
      <c r="V90" s="567">
        <f t="shared" si="63"/>
        <v>0</v>
      </c>
      <c r="W90" s="567">
        <f t="shared" si="63"/>
        <v>0</v>
      </c>
      <c r="X90" s="567">
        <f t="shared" si="63"/>
        <v>0</v>
      </c>
      <c r="Y90" s="567">
        <f t="shared" si="63"/>
        <v>0</v>
      </c>
      <c r="Z90" s="567">
        <f t="shared" si="63"/>
        <v>0</v>
      </c>
      <c r="AA90" s="567">
        <f t="shared" si="63"/>
        <v>0</v>
      </c>
      <c r="AB90" s="567">
        <f t="shared" si="63"/>
        <v>0</v>
      </c>
      <c r="AC90" s="567">
        <f t="shared" si="63"/>
        <v>0</v>
      </c>
      <c r="AD90" s="567">
        <f t="shared" si="63"/>
        <v>0</v>
      </c>
      <c r="AE90" s="567">
        <f t="shared" si="63"/>
        <v>0</v>
      </c>
      <c r="AF90" s="567">
        <f t="shared" si="63"/>
        <v>0</v>
      </c>
      <c r="AG90" s="567">
        <f t="shared" si="63"/>
        <v>0</v>
      </c>
      <c r="AH90" s="567">
        <f>IF(AG92&gt;0,IF(AH88-AG88&gt;0,0,AH89*AH88),0)</f>
        <v>0</v>
      </c>
      <c r="AK90" s="110"/>
      <c r="AM90" s="110"/>
      <c r="AO90" s="110"/>
      <c r="AQ90" s="110"/>
    </row>
    <row r="91" spans="1:43" x14ac:dyDescent="0.2">
      <c r="A91" s="30" t="s">
        <v>447</v>
      </c>
      <c r="B91" s="567">
        <f>B90</f>
        <v>0</v>
      </c>
      <c r="C91" s="567">
        <f t="shared" ref="C91:AG91" si="64">C90+B91</f>
        <v>0</v>
      </c>
      <c r="D91" s="567">
        <f t="shared" si="64"/>
        <v>0</v>
      </c>
      <c r="E91" s="567">
        <f t="shared" si="64"/>
        <v>9400.0830000000005</v>
      </c>
      <c r="F91" s="567">
        <f t="shared" si="64"/>
        <v>18800.166000000001</v>
      </c>
      <c r="G91" s="567">
        <f t="shared" si="64"/>
        <v>28200.249000000003</v>
      </c>
      <c r="H91" s="567">
        <f t="shared" si="64"/>
        <v>37600.332000000002</v>
      </c>
      <c r="I91" s="567">
        <f t="shared" si="64"/>
        <v>47000.415000000001</v>
      </c>
      <c r="J91" s="567">
        <f t="shared" si="64"/>
        <v>56400.498</v>
      </c>
      <c r="K91" s="567">
        <f t="shared" si="64"/>
        <v>65800.581000000006</v>
      </c>
      <c r="L91" s="567">
        <f t="shared" si="64"/>
        <v>75200.664000000004</v>
      </c>
      <c r="M91" s="567">
        <f t="shared" si="64"/>
        <v>84600.747000000003</v>
      </c>
      <c r="N91" s="567">
        <f t="shared" si="64"/>
        <v>94000.83</v>
      </c>
      <c r="O91" s="567">
        <f t="shared" si="64"/>
        <v>94000.83</v>
      </c>
      <c r="P91" s="567">
        <f t="shared" si="64"/>
        <v>94000.83</v>
      </c>
      <c r="Q91" s="567">
        <f t="shared" si="64"/>
        <v>94000.83</v>
      </c>
      <c r="R91" s="567">
        <f t="shared" si="64"/>
        <v>94000.83</v>
      </c>
      <c r="S91" s="567">
        <f t="shared" si="64"/>
        <v>94000.83</v>
      </c>
      <c r="T91" s="567">
        <f t="shared" si="64"/>
        <v>94000.83</v>
      </c>
      <c r="U91" s="567">
        <f t="shared" si="64"/>
        <v>94000.83</v>
      </c>
      <c r="V91" s="567">
        <f t="shared" si="64"/>
        <v>94000.83</v>
      </c>
      <c r="W91" s="567">
        <f t="shared" si="64"/>
        <v>94000.83</v>
      </c>
      <c r="X91" s="567">
        <f t="shared" si="64"/>
        <v>94000.83</v>
      </c>
      <c r="Y91" s="567">
        <f t="shared" si="64"/>
        <v>94000.83</v>
      </c>
      <c r="Z91" s="567">
        <f t="shared" si="64"/>
        <v>94000.83</v>
      </c>
      <c r="AA91" s="567">
        <f t="shared" si="64"/>
        <v>94000.83</v>
      </c>
      <c r="AB91" s="567">
        <f t="shared" si="64"/>
        <v>94000.83</v>
      </c>
      <c r="AC91" s="567">
        <f t="shared" si="64"/>
        <v>94000.83</v>
      </c>
      <c r="AD91" s="567">
        <f t="shared" si="64"/>
        <v>94000.83</v>
      </c>
      <c r="AE91" s="567">
        <f t="shared" si="64"/>
        <v>94000.83</v>
      </c>
      <c r="AF91" s="567">
        <f t="shared" si="64"/>
        <v>94000.83</v>
      </c>
      <c r="AG91" s="567">
        <f t="shared" si="64"/>
        <v>94000.83</v>
      </c>
      <c r="AH91" s="567">
        <f>AH90+AG91</f>
        <v>94000.83</v>
      </c>
      <c r="AK91" s="110"/>
      <c r="AM91" s="110"/>
      <c r="AO91" s="110"/>
      <c r="AQ91" s="110"/>
    </row>
    <row r="92" spans="1:43" x14ac:dyDescent="0.2">
      <c r="A92" s="30" t="s">
        <v>448</v>
      </c>
      <c r="B92" s="567">
        <f>ROUND(IF(B88-B91&gt;0,B88-B91,0),4)</f>
        <v>44053.03</v>
      </c>
      <c r="C92" s="567">
        <f>ROUND(IF(C88-C91&gt;0,C88-C91,0),4)</f>
        <v>82000.83</v>
      </c>
      <c r="D92" s="567">
        <f>ROUND(IF(D88-D91&gt;0,D88-D91,0),4)</f>
        <v>94000.83</v>
      </c>
      <c r="E92" s="567">
        <f t="shared" ref="E92:AH92" si="65">ROUND(IF(E88-E91&gt;0,E88-E91,0),4)</f>
        <v>84600.747000000003</v>
      </c>
      <c r="F92" s="567">
        <f t="shared" si="65"/>
        <v>75200.664000000004</v>
      </c>
      <c r="G92" s="567">
        <f t="shared" si="65"/>
        <v>65800.581000000006</v>
      </c>
      <c r="H92" s="567">
        <f t="shared" si="65"/>
        <v>56400.498</v>
      </c>
      <c r="I92" s="567">
        <f t="shared" si="65"/>
        <v>47000.415000000001</v>
      </c>
      <c r="J92" s="567">
        <f t="shared" si="65"/>
        <v>37600.332000000002</v>
      </c>
      <c r="K92" s="567">
        <f t="shared" si="65"/>
        <v>28200.249</v>
      </c>
      <c r="L92" s="567">
        <f t="shared" si="65"/>
        <v>18800.166000000001</v>
      </c>
      <c r="M92" s="567">
        <f t="shared" si="65"/>
        <v>9400.0830000000005</v>
      </c>
      <c r="N92" s="567">
        <f t="shared" si="65"/>
        <v>0</v>
      </c>
      <c r="O92" s="567">
        <f t="shared" si="65"/>
        <v>0</v>
      </c>
      <c r="P92" s="567">
        <f t="shared" si="65"/>
        <v>0</v>
      </c>
      <c r="Q92" s="567">
        <f t="shared" si="65"/>
        <v>0</v>
      </c>
      <c r="R92" s="567">
        <f t="shared" si="65"/>
        <v>0</v>
      </c>
      <c r="S92" s="567">
        <f t="shared" si="65"/>
        <v>0</v>
      </c>
      <c r="T92" s="567">
        <f t="shared" si="65"/>
        <v>0</v>
      </c>
      <c r="U92" s="567">
        <f t="shared" si="65"/>
        <v>0</v>
      </c>
      <c r="V92" s="567">
        <f t="shared" si="65"/>
        <v>0</v>
      </c>
      <c r="W92" s="567">
        <f t="shared" si="65"/>
        <v>0</v>
      </c>
      <c r="X92" s="567">
        <f t="shared" si="65"/>
        <v>0</v>
      </c>
      <c r="Y92" s="567">
        <f t="shared" si="65"/>
        <v>0</v>
      </c>
      <c r="Z92" s="567">
        <f t="shared" si="65"/>
        <v>0</v>
      </c>
      <c r="AA92" s="567">
        <f t="shared" si="65"/>
        <v>0</v>
      </c>
      <c r="AB92" s="567">
        <f t="shared" si="65"/>
        <v>0</v>
      </c>
      <c r="AC92" s="567">
        <f t="shared" si="65"/>
        <v>0</v>
      </c>
      <c r="AD92" s="567">
        <f t="shared" si="65"/>
        <v>0</v>
      </c>
      <c r="AE92" s="567">
        <f t="shared" si="65"/>
        <v>0</v>
      </c>
      <c r="AF92" s="567">
        <f t="shared" si="65"/>
        <v>0</v>
      </c>
      <c r="AG92" s="567">
        <f t="shared" si="65"/>
        <v>0</v>
      </c>
      <c r="AH92" s="567">
        <f t="shared" si="65"/>
        <v>0</v>
      </c>
      <c r="AK92" s="110"/>
      <c r="AM92" s="110"/>
      <c r="AO92" s="110"/>
      <c r="AQ92" s="110"/>
    </row>
    <row r="93" spans="1:43" x14ac:dyDescent="0.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K93" s="110"/>
      <c r="AM93" s="110"/>
      <c r="AO93" s="110"/>
      <c r="AQ93" s="110"/>
    </row>
    <row r="94" spans="1:43" x14ac:dyDescent="0.2">
      <c r="A94" s="30"/>
      <c r="B94" s="96">
        <f>B74</f>
        <v>2017</v>
      </c>
      <c r="C94" s="96">
        <f t="shared" ref="C94:AH94" si="66">C74</f>
        <v>2018</v>
      </c>
      <c r="D94" s="96">
        <f t="shared" si="66"/>
        <v>2019</v>
      </c>
      <c r="E94" s="96">
        <f t="shared" si="66"/>
        <v>2020</v>
      </c>
      <c r="F94" s="96">
        <f t="shared" si="66"/>
        <v>2021</v>
      </c>
      <c r="G94" s="96">
        <f t="shared" si="66"/>
        <v>2022</v>
      </c>
      <c r="H94" s="96">
        <f t="shared" si="66"/>
        <v>2023</v>
      </c>
      <c r="I94" s="96">
        <f t="shared" si="66"/>
        <v>2024</v>
      </c>
      <c r="J94" s="96">
        <f t="shared" si="66"/>
        <v>2025</v>
      </c>
      <c r="K94" s="96">
        <f t="shared" si="66"/>
        <v>2026</v>
      </c>
      <c r="L94" s="96">
        <f t="shared" si="66"/>
        <v>2027</v>
      </c>
      <c r="M94" s="96">
        <f t="shared" si="66"/>
        <v>2028</v>
      </c>
      <c r="N94" s="96">
        <f t="shared" si="66"/>
        <v>2029</v>
      </c>
      <c r="O94" s="96">
        <f t="shared" si="66"/>
        <v>2030</v>
      </c>
      <c r="P94" s="96">
        <f t="shared" si="66"/>
        <v>2031</v>
      </c>
      <c r="Q94" s="96">
        <f t="shared" si="66"/>
        <v>2032</v>
      </c>
      <c r="R94" s="96">
        <f t="shared" si="66"/>
        <v>2033</v>
      </c>
      <c r="S94" s="96">
        <f t="shared" si="66"/>
        <v>2034</v>
      </c>
      <c r="T94" s="96">
        <f t="shared" si="66"/>
        <v>2035</v>
      </c>
      <c r="U94" s="96">
        <f t="shared" si="66"/>
        <v>2036</v>
      </c>
      <c r="V94" s="96">
        <f t="shared" si="66"/>
        <v>2037</v>
      </c>
      <c r="W94" s="96">
        <f t="shared" si="66"/>
        <v>2038</v>
      </c>
      <c r="X94" s="96">
        <f t="shared" si="66"/>
        <v>2039</v>
      </c>
      <c r="Y94" s="96">
        <f t="shared" si="66"/>
        <v>2040</v>
      </c>
      <c r="Z94" s="96">
        <f t="shared" si="66"/>
        <v>2041</v>
      </c>
      <c r="AA94" s="96">
        <f t="shared" si="66"/>
        <v>2042</v>
      </c>
      <c r="AB94" s="96">
        <f t="shared" si="66"/>
        <v>2043</v>
      </c>
      <c r="AC94" s="96">
        <f t="shared" si="66"/>
        <v>2044</v>
      </c>
      <c r="AD94" s="96">
        <f t="shared" si="66"/>
        <v>2045</v>
      </c>
      <c r="AE94" s="96">
        <f t="shared" si="66"/>
        <v>2046</v>
      </c>
      <c r="AF94" s="96">
        <f t="shared" si="66"/>
        <v>2047</v>
      </c>
      <c r="AG94" s="96">
        <f t="shared" si="66"/>
        <v>2048</v>
      </c>
      <c r="AH94" s="96">
        <f t="shared" si="66"/>
        <v>2049</v>
      </c>
      <c r="AK94" s="110"/>
      <c r="AM94" s="110"/>
      <c r="AO94" s="110"/>
      <c r="AQ94" s="110"/>
    </row>
    <row r="95" spans="1:43" x14ac:dyDescent="0.2">
      <c r="A95" s="621" t="s">
        <v>451</v>
      </c>
      <c r="B95" s="622"/>
      <c r="C95" s="622"/>
      <c r="D95" s="622"/>
      <c r="E95" s="622"/>
      <c r="F95" s="622"/>
      <c r="G95" s="622"/>
      <c r="H95" s="622"/>
      <c r="I95" s="622"/>
      <c r="J95" s="622"/>
      <c r="K95" s="622"/>
      <c r="L95" s="622"/>
      <c r="M95" s="622"/>
      <c r="N95" s="622"/>
      <c r="O95" s="622"/>
      <c r="P95" s="622"/>
      <c r="Q95" s="622"/>
      <c r="R95" s="622"/>
      <c r="S95" s="622"/>
      <c r="T95" s="622"/>
      <c r="U95" s="622"/>
      <c r="V95" s="622"/>
      <c r="W95" s="622"/>
      <c r="X95" s="622"/>
      <c r="Y95" s="622"/>
      <c r="Z95" s="622"/>
      <c r="AA95" s="622"/>
      <c r="AB95" s="622"/>
      <c r="AC95" s="622"/>
      <c r="AD95" s="622"/>
      <c r="AE95" s="622"/>
      <c r="AF95" s="622"/>
      <c r="AG95" s="622"/>
      <c r="AH95" s="622"/>
      <c r="AK95" s="110"/>
      <c r="AM95" s="110"/>
      <c r="AO95" s="110"/>
      <c r="AQ95" s="110"/>
    </row>
    <row r="96" spans="1:43" outlineLevel="1" x14ac:dyDescent="0.2">
      <c r="A96" s="627" t="s">
        <v>443</v>
      </c>
      <c r="B96" s="622"/>
      <c r="C96" s="622"/>
      <c r="D96" s="622"/>
      <c r="E96" s="622"/>
      <c r="F96" s="622"/>
      <c r="G96" s="622"/>
      <c r="H96" s="622"/>
      <c r="I96" s="622"/>
      <c r="J96" s="622"/>
      <c r="K96" s="622"/>
      <c r="L96" s="622"/>
      <c r="M96" s="622"/>
      <c r="N96" s="622"/>
      <c r="O96" s="622"/>
      <c r="P96" s="622"/>
      <c r="Q96" s="622"/>
      <c r="R96" s="622"/>
      <c r="S96" s="622"/>
      <c r="T96" s="622"/>
      <c r="U96" s="622"/>
      <c r="V96" s="622"/>
      <c r="W96" s="622"/>
      <c r="X96" s="622"/>
      <c r="Y96" s="622"/>
      <c r="Z96" s="622"/>
      <c r="AA96" s="622"/>
      <c r="AB96" s="622"/>
      <c r="AC96" s="622"/>
      <c r="AD96" s="622"/>
      <c r="AE96" s="622"/>
      <c r="AF96" s="622"/>
      <c r="AG96" s="622"/>
      <c r="AH96" s="622"/>
      <c r="AK96" s="110"/>
      <c r="AM96" s="110"/>
      <c r="AO96" s="110"/>
      <c r="AQ96" s="110"/>
    </row>
    <row r="97" spans="1:43" outlineLevel="1" x14ac:dyDescent="0.2">
      <c r="A97" s="569" t="s">
        <v>237</v>
      </c>
      <c r="B97" s="570">
        <f>'Datu ievade'!B69+'Datu ievade'!C69</f>
        <v>22272.93</v>
      </c>
      <c r="C97" s="570">
        <f>'Datu ievade'!D69</f>
        <v>12701.627611124361</v>
      </c>
      <c r="D97" s="570">
        <v>0</v>
      </c>
      <c r="E97" s="570">
        <v>0</v>
      </c>
      <c r="F97" s="570">
        <v>0</v>
      </c>
      <c r="G97" s="570">
        <v>0</v>
      </c>
      <c r="H97" s="570">
        <v>0</v>
      </c>
      <c r="I97" s="570">
        <v>0</v>
      </c>
      <c r="J97" s="570">
        <v>0</v>
      </c>
      <c r="K97" s="570">
        <v>0</v>
      </c>
      <c r="L97" s="570">
        <v>0</v>
      </c>
      <c r="M97" s="570">
        <v>0</v>
      </c>
      <c r="N97" s="570">
        <v>0</v>
      </c>
      <c r="O97" s="570">
        <v>0</v>
      </c>
      <c r="P97" s="570">
        <v>0</v>
      </c>
      <c r="Q97" s="570">
        <v>0</v>
      </c>
      <c r="R97" s="570">
        <v>0</v>
      </c>
      <c r="S97" s="570">
        <v>0</v>
      </c>
      <c r="T97" s="570">
        <v>0</v>
      </c>
      <c r="U97" s="570">
        <v>0</v>
      </c>
      <c r="V97" s="570">
        <v>0</v>
      </c>
      <c r="W97" s="570">
        <v>0</v>
      </c>
      <c r="X97" s="570">
        <v>0</v>
      </c>
      <c r="Y97" s="570">
        <v>0</v>
      </c>
      <c r="Z97" s="570">
        <v>0</v>
      </c>
      <c r="AA97" s="570">
        <v>0</v>
      </c>
      <c r="AB97" s="570">
        <v>0</v>
      </c>
      <c r="AC97" s="570">
        <v>0</v>
      </c>
      <c r="AD97" s="570">
        <v>0</v>
      </c>
      <c r="AE97" s="570">
        <v>0</v>
      </c>
      <c r="AF97" s="570">
        <v>0</v>
      </c>
      <c r="AG97" s="570">
        <v>0</v>
      </c>
      <c r="AH97" s="570">
        <v>0</v>
      </c>
      <c r="AK97" s="110"/>
      <c r="AM97" s="110"/>
      <c r="AO97" s="110"/>
      <c r="AQ97" s="110"/>
    </row>
    <row r="98" spans="1:43" outlineLevel="1" x14ac:dyDescent="0.2">
      <c r="A98" s="569" t="s">
        <v>452</v>
      </c>
      <c r="B98" s="570">
        <v>0</v>
      </c>
      <c r="C98" s="570">
        <v>0</v>
      </c>
      <c r="D98" s="570">
        <v>0</v>
      </c>
      <c r="E98" s="570">
        <v>0</v>
      </c>
      <c r="F98" s="570">
        <v>0</v>
      </c>
      <c r="G98" s="570">
        <v>0</v>
      </c>
      <c r="H98" s="570">
        <v>0</v>
      </c>
      <c r="I98" s="570">
        <v>0</v>
      </c>
      <c r="J98" s="570">
        <v>0</v>
      </c>
      <c r="K98" s="570">
        <v>0</v>
      </c>
      <c r="L98" s="570">
        <v>0</v>
      </c>
      <c r="M98" s="570">
        <v>0</v>
      </c>
      <c r="N98" s="570">
        <v>0</v>
      </c>
      <c r="O98" s="570">
        <v>0</v>
      </c>
      <c r="P98" s="570">
        <v>0</v>
      </c>
      <c r="Q98" s="570">
        <v>0</v>
      </c>
      <c r="R98" s="570">
        <v>0</v>
      </c>
      <c r="S98" s="570">
        <v>0</v>
      </c>
      <c r="T98" s="570">
        <v>0</v>
      </c>
      <c r="U98" s="570">
        <v>0</v>
      </c>
      <c r="V98" s="570">
        <v>0</v>
      </c>
      <c r="W98" s="570">
        <v>0</v>
      </c>
      <c r="X98" s="570">
        <v>0</v>
      </c>
      <c r="Y98" s="570">
        <v>0</v>
      </c>
      <c r="Z98" s="570">
        <v>0</v>
      </c>
      <c r="AA98" s="570">
        <v>0</v>
      </c>
      <c r="AB98" s="570">
        <v>0</v>
      </c>
      <c r="AC98" s="570">
        <v>0</v>
      </c>
      <c r="AD98" s="570">
        <v>0</v>
      </c>
      <c r="AE98" s="570">
        <v>0</v>
      </c>
      <c r="AF98" s="570">
        <v>0</v>
      </c>
      <c r="AG98" s="570">
        <v>0</v>
      </c>
      <c r="AH98" s="570">
        <v>0</v>
      </c>
      <c r="AK98" s="110"/>
      <c r="AM98" s="110"/>
      <c r="AO98" s="110"/>
      <c r="AQ98" s="110"/>
    </row>
    <row r="99" spans="1:43" outlineLevel="1" x14ac:dyDescent="0.2">
      <c r="A99" s="569" t="s">
        <v>239</v>
      </c>
      <c r="B99" s="570">
        <f>'Datu ievade'!B70+'Datu ievade'!B72+'Datu ievade'!C70+'Datu ievade'!C72</f>
        <v>1995.56</v>
      </c>
      <c r="C99" s="570">
        <f>'Datu ievade'!D70+'Datu ievade'!D72</f>
        <v>809.43999999999994</v>
      </c>
      <c r="D99" s="570">
        <f>'Datu ievade'!E70+'Datu ievade'!E72</f>
        <v>0</v>
      </c>
      <c r="E99" s="570">
        <f>'Datu ievade'!F70+'Datu ievade'!F72</f>
        <v>0</v>
      </c>
      <c r="F99" s="570">
        <v>0</v>
      </c>
      <c r="G99" s="570">
        <v>0</v>
      </c>
      <c r="H99" s="570">
        <v>0</v>
      </c>
      <c r="I99" s="570">
        <v>0</v>
      </c>
      <c r="J99" s="570">
        <v>0</v>
      </c>
      <c r="K99" s="570">
        <v>0</v>
      </c>
      <c r="L99" s="570">
        <v>0</v>
      </c>
      <c r="M99" s="570">
        <v>0</v>
      </c>
      <c r="N99" s="570">
        <v>0</v>
      </c>
      <c r="O99" s="570">
        <v>0</v>
      </c>
      <c r="P99" s="570">
        <v>0</v>
      </c>
      <c r="Q99" s="570">
        <v>0</v>
      </c>
      <c r="R99" s="570">
        <v>0</v>
      </c>
      <c r="S99" s="570">
        <v>0</v>
      </c>
      <c r="T99" s="570">
        <v>0</v>
      </c>
      <c r="U99" s="570">
        <v>0</v>
      </c>
      <c r="V99" s="570">
        <v>0</v>
      </c>
      <c r="W99" s="570">
        <v>0</v>
      </c>
      <c r="X99" s="570">
        <v>0</v>
      </c>
      <c r="Y99" s="570">
        <v>0</v>
      </c>
      <c r="Z99" s="570">
        <v>0</v>
      </c>
      <c r="AA99" s="570">
        <v>0</v>
      </c>
      <c r="AB99" s="570">
        <v>0</v>
      </c>
      <c r="AC99" s="570">
        <v>0</v>
      </c>
      <c r="AD99" s="570">
        <v>0</v>
      </c>
      <c r="AE99" s="570">
        <v>0</v>
      </c>
      <c r="AF99" s="570">
        <v>0</v>
      </c>
      <c r="AG99" s="570">
        <v>0</v>
      </c>
      <c r="AH99" s="570">
        <v>0</v>
      </c>
      <c r="AK99" s="110"/>
      <c r="AM99" s="110"/>
      <c r="AO99" s="110"/>
      <c r="AQ99" s="110"/>
    </row>
    <row r="100" spans="1:43" outlineLevel="1" x14ac:dyDescent="0.2">
      <c r="A100" s="569" t="s">
        <v>450</v>
      </c>
      <c r="B100" s="570">
        <f>SUM(B97:B99)</f>
        <v>24268.49</v>
      </c>
      <c r="C100" s="570">
        <f>SUM(C97:C99)</f>
        <v>13511.067611124361</v>
      </c>
      <c r="D100" s="570">
        <f>SUM(D97:D99)</f>
        <v>0</v>
      </c>
      <c r="E100" s="570">
        <v>0</v>
      </c>
      <c r="F100" s="570">
        <v>0</v>
      </c>
      <c r="G100" s="570">
        <v>0</v>
      </c>
      <c r="H100" s="570">
        <v>0</v>
      </c>
      <c r="I100" s="570">
        <v>0</v>
      </c>
      <c r="J100" s="570">
        <v>0</v>
      </c>
      <c r="K100" s="570">
        <v>0</v>
      </c>
      <c r="L100" s="570">
        <v>0</v>
      </c>
      <c r="M100" s="570">
        <v>0</v>
      </c>
      <c r="N100" s="570">
        <v>0</v>
      </c>
      <c r="O100" s="570">
        <v>0</v>
      </c>
      <c r="P100" s="570">
        <v>0</v>
      </c>
      <c r="Q100" s="570">
        <v>0</v>
      </c>
      <c r="R100" s="570">
        <v>0</v>
      </c>
      <c r="S100" s="570">
        <v>0</v>
      </c>
      <c r="T100" s="570">
        <v>0</v>
      </c>
      <c r="U100" s="570">
        <v>0</v>
      </c>
      <c r="V100" s="570">
        <v>0</v>
      </c>
      <c r="W100" s="570">
        <v>0</v>
      </c>
      <c r="X100" s="570">
        <v>0</v>
      </c>
      <c r="Y100" s="570">
        <v>0</v>
      </c>
      <c r="Z100" s="570">
        <v>0</v>
      </c>
      <c r="AA100" s="570">
        <v>0</v>
      </c>
      <c r="AB100" s="570">
        <v>0</v>
      </c>
      <c r="AC100" s="570">
        <v>0</v>
      </c>
      <c r="AD100" s="570">
        <v>0</v>
      </c>
      <c r="AE100" s="570">
        <v>0</v>
      </c>
      <c r="AF100" s="570">
        <v>0</v>
      </c>
      <c r="AG100" s="570">
        <v>0</v>
      </c>
      <c r="AH100" s="570">
        <v>0</v>
      </c>
      <c r="AK100" s="110"/>
      <c r="AM100" s="110"/>
      <c r="AO100" s="110"/>
      <c r="AQ100" s="110"/>
    </row>
    <row r="101" spans="1:43" outlineLevel="1" x14ac:dyDescent="0.2">
      <c r="A101" s="627" t="s">
        <v>449</v>
      </c>
      <c r="B101" s="622"/>
      <c r="C101" s="622"/>
      <c r="D101" s="622"/>
      <c r="E101" s="622"/>
      <c r="F101" s="622"/>
      <c r="G101" s="622"/>
      <c r="H101" s="622"/>
      <c r="I101" s="622"/>
      <c r="J101" s="622"/>
      <c r="K101" s="622"/>
      <c r="L101" s="622"/>
      <c r="M101" s="622"/>
      <c r="N101" s="622"/>
      <c r="O101" s="622"/>
      <c r="P101" s="622"/>
      <c r="Q101" s="622"/>
      <c r="R101" s="622"/>
      <c r="S101" s="622"/>
      <c r="T101" s="622"/>
      <c r="U101" s="622"/>
      <c r="V101" s="622"/>
      <c r="W101" s="622"/>
      <c r="X101" s="622"/>
      <c r="Y101" s="622"/>
      <c r="Z101" s="622"/>
      <c r="AA101" s="622"/>
      <c r="AB101" s="622"/>
      <c r="AC101" s="622"/>
      <c r="AD101" s="622"/>
      <c r="AE101" s="622"/>
      <c r="AF101" s="622"/>
      <c r="AG101" s="622"/>
      <c r="AH101" s="622"/>
      <c r="AK101" s="110"/>
      <c r="AM101" s="110"/>
      <c r="AO101" s="110"/>
      <c r="AQ101" s="110"/>
    </row>
    <row r="102" spans="1:43" outlineLevel="1" x14ac:dyDescent="0.2">
      <c r="A102" s="569" t="str">
        <f>A97</f>
        <v>Ēkas un būves</v>
      </c>
      <c r="B102" s="570">
        <f>'Datu ievade'!B60+'Datu ievade'!B61+'Datu ievade'!C60+'Datu ievade'!C61</f>
        <v>525487.84</v>
      </c>
      <c r="C102" s="570">
        <f>'Datu ievade'!D60+'Datu ievade'!D61</f>
        <v>299671.04238887562</v>
      </c>
      <c r="D102" s="570">
        <f>'Datu ievade'!E60+'Datu ievade'!E61</f>
        <v>511465</v>
      </c>
      <c r="E102" s="570">
        <v>0</v>
      </c>
      <c r="F102" s="570">
        <f>'Datu ievade'!E60</f>
        <v>0</v>
      </c>
      <c r="G102" s="570">
        <f>'Datu ievade'!F60</f>
        <v>0</v>
      </c>
      <c r="H102" s="570">
        <v>0</v>
      </c>
      <c r="I102" s="570">
        <f>'Datu ievade'!H60</f>
        <v>0</v>
      </c>
      <c r="J102" s="570">
        <f>'Datu ievade'!I60</f>
        <v>0</v>
      </c>
      <c r="K102" s="570">
        <f>'Datu ievade'!J60</f>
        <v>0</v>
      </c>
      <c r="L102" s="570">
        <f>'Datu ievade'!K60</f>
        <v>0</v>
      </c>
      <c r="M102" s="570">
        <f>'Datu ievade'!L60</f>
        <v>0</v>
      </c>
      <c r="N102" s="570">
        <f>'Datu ievade'!M60</f>
        <v>0</v>
      </c>
      <c r="O102" s="570">
        <f>'Datu ievade'!N60</f>
        <v>0</v>
      </c>
      <c r="P102" s="570">
        <f>'Datu ievade'!O60</f>
        <v>0</v>
      </c>
      <c r="Q102" s="570">
        <f>'Datu ievade'!P60</f>
        <v>0</v>
      </c>
      <c r="R102" s="570">
        <f>'Datu ievade'!Q60</f>
        <v>0</v>
      </c>
      <c r="S102" s="570">
        <f>'Datu ievade'!R60</f>
        <v>0</v>
      </c>
      <c r="T102" s="570">
        <f>'Datu ievade'!S60</f>
        <v>0</v>
      </c>
      <c r="U102" s="570">
        <f>'Datu ievade'!T60</f>
        <v>0</v>
      </c>
      <c r="V102" s="570">
        <f>'Datu ievade'!U60</f>
        <v>0</v>
      </c>
      <c r="W102" s="570">
        <f>'Datu ievade'!V60</f>
        <v>0</v>
      </c>
      <c r="X102" s="570">
        <f>'Datu ievade'!W60</f>
        <v>0</v>
      </c>
      <c r="Y102" s="570">
        <f>'Datu ievade'!X60</f>
        <v>0</v>
      </c>
      <c r="Z102" s="570">
        <f>'Datu ievade'!Y60</f>
        <v>0</v>
      </c>
      <c r="AA102" s="570">
        <f>'Datu ievade'!Z60</f>
        <v>0</v>
      </c>
      <c r="AB102" s="570">
        <f>'Datu ievade'!AA60</f>
        <v>0</v>
      </c>
      <c r="AC102" s="570">
        <f>'Datu ievade'!AB60</f>
        <v>0</v>
      </c>
      <c r="AD102" s="570">
        <f>'Datu ievade'!AC60</f>
        <v>0</v>
      </c>
      <c r="AE102" s="570">
        <f>'Datu ievade'!AD60</f>
        <v>0</v>
      </c>
      <c r="AF102" s="570">
        <f>'Datu ievade'!AE60</f>
        <v>0</v>
      </c>
      <c r="AG102" s="570">
        <f>'Datu ievade'!AF60</f>
        <v>0</v>
      </c>
      <c r="AH102" s="570">
        <f>'Datu ievade'!AG60</f>
        <v>0</v>
      </c>
      <c r="AK102" s="110"/>
      <c r="AM102" s="110"/>
      <c r="AO102" s="110"/>
      <c r="AQ102" s="110"/>
    </row>
    <row r="103" spans="1:43" outlineLevel="1" x14ac:dyDescent="0.2">
      <c r="A103" s="569" t="s">
        <v>452</v>
      </c>
      <c r="B103" s="570">
        <v>0</v>
      </c>
      <c r="C103" s="570">
        <v>0</v>
      </c>
      <c r="D103" s="570">
        <v>0</v>
      </c>
      <c r="E103" s="570">
        <v>0</v>
      </c>
      <c r="F103" s="570">
        <v>0</v>
      </c>
      <c r="G103" s="570">
        <v>0</v>
      </c>
      <c r="H103" s="570">
        <v>0</v>
      </c>
      <c r="I103" s="570">
        <v>0</v>
      </c>
      <c r="J103" s="570">
        <v>0</v>
      </c>
      <c r="K103" s="570">
        <v>0</v>
      </c>
      <c r="L103" s="570">
        <v>0</v>
      </c>
      <c r="M103" s="570">
        <v>0</v>
      </c>
      <c r="N103" s="570">
        <v>0</v>
      </c>
      <c r="O103" s="570">
        <v>0</v>
      </c>
      <c r="P103" s="570">
        <v>0</v>
      </c>
      <c r="Q103" s="570">
        <v>0</v>
      </c>
      <c r="R103" s="570">
        <v>0</v>
      </c>
      <c r="S103" s="570">
        <v>0</v>
      </c>
      <c r="T103" s="570">
        <v>0</v>
      </c>
      <c r="U103" s="570">
        <v>0</v>
      </c>
      <c r="V103" s="570">
        <v>0</v>
      </c>
      <c r="W103" s="570">
        <v>0</v>
      </c>
      <c r="X103" s="570">
        <v>0</v>
      </c>
      <c r="Y103" s="570">
        <v>0</v>
      </c>
      <c r="Z103" s="570">
        <v>0</v>
      </c>
      <c r="AA103" s="570">
        <v>0</v>
      </c>
      <c r="AB103" s="570">
        <v>0</v>
      </c>
      <c r="AC103" s="570">
        <v>0</v>
      </c>
      <c r="AD103" s="570">
        <v>0</v>
      </c>
      <c r="AE103" s="570">
        <v>0</v>
      </c>
      <c r="AF103" s="570">
        <v>0</v>
      </c>
      <c r="AG103" s="570">
        <v>0</v>
      </c>
      <c r="AH103" s="570">
        <v>0</v>
      </c>
      <c r="AK103" s="110"/>
      <c r="AM103" s="110"/>
      <c r="AO103" s="110"/>
      <c r="AQ103" s="110"/>
    </row>
    <row r="104" spans="1:43" outlineLevel="1" x14ac:dyDescent="0.2">
      <c r="A104" s="569" t="str">
        <f>A99</f>
        <v>Nemateriālie ieguldījumi</v>
      </c>
      <c r="B104" s="570">
        <f>'Datu ievade'!B62+'Datu ievade'!B71+'Datu ievade'!C62+'Datu ievade'!C63+'Datu ievade'!C71</f>
        <v>42057.47</v>
      </c>
      <c r="C104" s="570">
        <f>'Datu ievade'!D62+'Datu ievade'!D63+'Datu ievade'!D71</f>
        <v>37138.36</v>
      </c>
      <c r="D104" s="570">
        <f>'Datu ievade'!E62+'Datu ievade'!E63+'Datu ievade'!E71</f>
        <v>12000</v>
      </c>
      <c r="E104" s="570">
        <v>0</v>
      </c>
      <c r="F104" s="570">
        <f>'Datu ievade'!E62</f>
        <v>0</v>
      </c>
      <c r="G104" s="570">
        <f>'Datu ievade'!F62</f>
        <v>0</v>
      </c>
      <c r="H104" s="570">
        <v>0</v>
      </c>
      <c r="I104" s="570">
        <f>'Datu ievade'!H62</f>
        <v>0</v>
      </c>
      <c r="J104" s="570">
        <f>'Datu ievade'!I62</f>
        <v>0</v>
      </c>
      <c r="K104" s="570">
        <f>'Datu ievade'!J62</f>
        <v>0</v>
      </c>
      <c r="L104" s="570">
        <f>'Datu ievade'!K62</f>
        <v>0</v>
      </c>
      <c r="M104" s="570">
        <f>'Datu ievade'!L62</f>
        <v>0</v>
      </c>
      <c r="N104" s="570">
        <f>'Datu ievade'!M62</f>
        <v>0</v>
      </c>
      <c r="O104" s="570">
        <f>'Datu ievade'!N62</f>
        <v>0</v>
      </c>
      <c r="P104" s="570">
        <f>'Datu ievade'!O62</f>
        <v>0</v>
      </c>
      <c r="Q104" s="570">
        <f>'Datu ievade'!P62</f>
        <v>0</v>
      </c>
      <c r="R104" s="570">
        <f>'Datu ievade'!Q62</f>
        <v>0</v>
      </c>
      <c r="S104" s="570">
        <f>'Datu ievade'!R62</f>
        <v>0</v>
      </c>
      <c r="T104" s="570">
        <f>'Datu ievade'!S62</f>
        <v>0</v>
      </c>
      <c r="U104" s="570">
        <f>'Datu ievade'!T62</f>
        <v>0</v>
      </c>
      <c r="V104" s="570">
        <f>'Datu ievade'!U62</f>
        <v>0</v>
      </c>
      <c r="W104" s="570">
        <f>'Datu ievade'!V62</f>
        <v>0</v>
      </c>
      <c r="X104" s="570">
        <f>'Datu ievade'!W62</f>
        <v>0</v>
      </c>
      <c r="Y104" s="570">
        <f>'Datu ievade'!X62</f>
        <v>0</v>
      </c>
      <c r="Z104" s="570">
        <f>'Datu ievade'!Y62</f>
        <v>0</v>
      </c>
      <c r="AA104" s="570">
        <f>'Datu ievade'!Z62</f>
        <v>0</v>
      </c>
      <c r="AB104" s="570">
        <f>'Datu ievade'!AA62</f>
        <v>0</v>
      </c>
      <c r="AC104" s="570">
        <f>'Datu ievade'!AB62</f>
        <v>0</v>
      </c>
      <c r="AD104" s="570">
        <f>'Datu ievade'!AC62</f>
        <v>0</v>
      </c>
      <c r="AE104" s="570">
        <f>'Datu ievade'!AD62</f>
        <v>0</v>
      </c>
      <c r="AF104" s="570">
        <f>'Datu ievade'!AE62</f>
        <v>0</v>
      </c>
      <c r="AG104" s="570">
        <f>'Datu ievade'!AF62</f>
        <v>0</v>
      </c>
      <c r="AH104" s="570">
        <f>'Datu ievade'!AG62</f>
        <v>0</v>
      </c>
      <c r="AK104" s="110"/>
      <c r="AM104" s="110"/>
      <c r="AO104" s="110"/>
      <c r="AQ104" s="110"/>
    </row>
    <row r="105" spans="1:43" outlineLevel="1" x14ac:dyDescent="0.2">
      <c r="A105" s="569" t="s">
        <v>450</v>
      </c>
      <c r="B105" s="570">
        <f>SUM(B102:B104)</f>
        <v>567545.30999999994</v>
      </c>
      <c r="C105" s="570">
        <f>SUM(C102:C104)</f>
        <v>336809.40238887561</v>
      </c>
      <c r="D105" s="570">
        <f t="shared" ref="D105:I105" si="67">SUM(D102:D104)</f>
        <v>523465</v>
      </c>
      <c r="E105" s="570">
        <f t="shared" si="67"/>
        <v>0</v>
      </c>
      <c r="F105" s="570">
        <f t="shared" si="67"/>
        <v>0</v>
      </c>
      <c r="G105" s="570">
        <f t="shared" si="67"/>
        <v>0</v>
      </c>
      <c r="H105" s="570">
        <v>0</v>
      </c>
      <c r="I105" s="570">
        <f t="shared" si="67"/>
        <v>0</v>
      </c>
      <c r="J105" s="570">
        <f t="shared" ref="J105:AH105" si="68">SUM(J102:J104)</f>
        <v>0</v>
      </c>
      <c r="K105" s="570">
        <f t="shared" si="68"/>
        <v>0</v>
      </c>
      <c r="L105" s="570">
        <f t="shared" si="68"/>
        <v>0</v>
      </c>
      <c r="M105" s="570">
        <f t="shared" si="68"/>
        <v>0</v>
      </c>
      <c r="N105" s="570">
        <f t="shared" si="68"/>
        <v>0</v>
      </c>
      <c r="O105" s="570">
        <f t="shared" si="68"/>
        <v>0</v>
      </c>
      <c r="P105" s="570">
        <f t="shared" si="68"/>
        <v>0</v>
      </c>
      <c r="Q105" s="570">
        <f t="shared" si="68"/>
        <v>0</v>
      </c>
      <c r="R105" s="570">
        <f t="shared" si="68"/>
        <v>0</v>
      </c>
      <c r="S105" s="570">
        <f t="shared" si="68"/>
        <v>0</v>
      </c>
      <c r="T105" s="570">
        <f t="shared" si="68"/>
        <v>0</v>
      </c>
      <c r="U105" s="570">
        <f t="shared" si="68"/>
        <v>0</v>
      </c>
      <c r="V105" s="570">
        <f t="shared" si="68"/>
        <v>0</v>
      </c>
      <c r="W105" s="570">
        <f t="shared" si="68"/>
        <v>0</v>
      </c>
      <c r="X105" s="570">
        <f t="shared" si="68"/>
        <v>0</v>
      </c>
      <c r="Y105" s="570">
        <f t="shared" si="68"/>
        <v>0</v>
      </c>
      <c r="Z105" s="570">
        <f t="shared" si="68"/>
        <v>0</v>
      </c>
      <c r="AA105" s="570">
        <f t="shared" si="68"/>
        <v>0</v>
      </c>
      <c r="AB105" s="570">
        <f t="shared" si="68"/>
        <v>0</v>
      </c>
      <c r="AC105" s="570">
        <f t="shared" si="68"/>
        <v>0</v>
      </c>
      <c r="AD105" s="570">
        <f t="shared" si="68"/>
        <v>0</v>
      </c>
      <c r="AE105" s="570">
        <f t="shared" si="68"/>
        <v>0</v>
      </c>
      <c r="AF105" s="570">
        <f t="shared" si="68"/>
        <v>0</v>
      </c>
      <c r="AG105" s="570">
        <f t="shared" si="68"/>
        <v>0</v>
      </c>
      <c r="AH105" s="570">
        <f t="shared" si="68"/>
        <v>0</v>
      </c>
      <c r="AK105" s="110"/>
      <c r="AM105" s="110"/>
      <c r="AO105" s="110"/>
      <c r="AQ105" s="110"/>
    </row>
    <row r="106" spans="1:43" outlineLevel="1" x14ac:dyDescent="0.2">
      <c r="A106" s="30" t="s">
        <v>453</v>
      </c>
      <c r="B106" s="570">
        <f>B100+B105</f>
        <v>591813.79999999993</v>
      </c>
      <c r="C106" s="570">
        <f t="shared" ref="C106:I106" si="69">C100+C105</f>
        <v>350320.47</v>
      </c>
      <c r="D106" s="570">
        <f t="shared" si="69"/>
        <v>523465</v>
      </c>
      <c r="E106" s="570">
        <f t="shared" si="69"/>
        <v>0</v>
      </c>
      <c r="F106" s="570">
        <f t="shared" si="69"/>
        <v>0</v>
      </c>
      <c r="G106" s="570">
        <f t="shared" si="69"/>
        <v>0</v>
      </c>
      <c r="H106" s="570">
        <v>0</v>
      </c>
      <c r="I106" s="570">
        <f t="shared" si="69"/>
        <v>0</v>
      </c>
      <c r="J106" s="570">
        <f t="shared" ref="J106:AH106" si="70">J100+J105</f>
        <v>0</v>
      </c>
      <c r="K106" s="570">
        <f t="shared" si="70"/>
        <v>0</v>
      </c>
      <c r="L106" s="570">
        <f t="shared" si="70"/>
        <v>0</v>
      </c>
      <c r="M106" s="570">
        <f t="shared" si="70"/>
        <v>0</v>
      </c>
      <c r="N106" s="570">
        <f t="shared" si="70"/>
        <v>0</v>
      </c>
      <c r="O106" s="570">
        <f t="shared" si="70"/>
        <v>0</v>
      </c>
      <c r="P106" s="570">
        <f t="shared" si="70"/>
        <v>0</v>
      </c>
      <c r="Q106" s="570">
        <f t="shared" si="70"/>
        <v>0</v>
      </c>
      <c r="R106" s="570">
        <f t="shared" si="70"/>
        <v>0</v>
      </c>
      <c r="S106" s="570">
        <f t="shared" si="70"/>
        <v>0</v>
      </c>
      <c r="T106" s="570">
        <f t="shared" si="70"/>
        <v>0</v>
      </c>
      <c r="U106" s="570">
        <f t="shared" si="70"/>
        <v>0</v>
      </c>
      <c r="V106" s="570">
        <f t="shared" si="70"/>
        <v>0</v>
      </c>
      <c r="W106" s="570">
        <f t="shared" si="70"/>
        <v>0</v>
      </c>
      <c r="X106" s="570">
        <f t="shared" si="70"/>
        <v>0</v>
      </c>
      <c r="Y106" s="570">
        <f t="shared" si="70"/>
        <v>0</v>
      </c>
      <c r="Z106" s="570">
        <f t="shared" si="70"/>
        <v>0</v>
      </c>
      <c r="AA106" s="570">
        <f t="shared" si="70"/>
        <v>0</v>
      </c>
      <c r="AB106" s="570">
        <f t="shared" si="70"/>
        <v>0</v>
      </c>
      <c r="AC106" s="570">
        <f t="shared" si="70"/>
        <v>0</v>
      </c>
      <c r="AD106" s="570">
        <f t="shared" si="70"/>
        <v>0</v>
      </c>
      <c r="AE106" s="570">
        <f t="shared" si="70"/>
        <v>0</v>
      </c>
      <c r="AF106" s="570">
        <f t="shared" si="70"/>
        <v>0</v>
      </c>
      <c r="AG106" s="570">
        <f t="shared" si="70"/>
        <v>0</v>
      </c>
      <c r="AH106" s="570">
        <f t="shared" si="70"/>
        <v>0</v>
      </c>
      <c r="AK106" s="110"/>
      <c r="AM106" s="110"/>
      <c r="AO106" s="110"/>
      <c r="AQ106" s="110"/>
    </row>
    <row r="107" spans="1:43" outlineLevel="1" x14ac:dyDescent="0.2">
      <c r="A107" s="30" t="s">
        <v>360</v>
      </c>
      <c r="B107" s="570">
        <f>'Datu ievade'!B74+'Datu ievade'!C74</f>
        <v>124280.89</v>
      </c>
      <c r="C107" s="570">
        <f>'Datu ievade'!D74</f>
        <v>73567.3</v>
      </c>
      <c r="D107" s="570">
        <f>'Datu ievade'!E74</f>
        <v>109927.65</v>
      </c>
      <c r="E107" s="570">
        <v>0</v>
      </c>
      <c r="F107" s="570">
        <v>0</v>
      </c>
      <c r="G107" s="570">
        <f>'Datu ievade'!F74</f>
        <v>0</v>
      </c>
      <c r="H107" s="570">
        <v>0</v>
      </c>
      <c r="I107" s="570">
        <f>'Datu ievade'!H74</f>
        <v>0</v>
      </c>
      <c r="J107" s="570">
        <f>'Datu ievade'!I74</f>
        <v>0</v>
      </c>
      <c r="K107" s="570">
        <f>'Datu ievade'!J74</f>
        <v>0</v>
      </c>
      <c r="L107" s="570">
        <f>'Datu ievade'!K74</f>
        <v>0</v>
      </c>
      <c r="M107" s="570">
        <f>'Datu ievade'!L74</f>
        <v>0</v>
      </c>
      <c r="N107" s="570">
        <f>'Datu ievade'!M74</f>
        <v>0</v>
      </c>
      <c r="O107" s="570">
        <f>'Datu ievade'!N74</f>
        <v>0</v>
      </c>
      <c r="P107" s="570">
        <f>'Datu ievade'!O74</f>
        <v>0</v>
      </c>
      <c r="Q107" s="570">
        <f>'Datu ievade'!P74</f>
        <v>0</v>
      </c>
      <c r="R107" s="570">
        <f>'Datu ievade'!Q74</f>
        <v>0</v>
      </c>
      <c r="S107" s="570">
        <f>'Datu ievade'!R74</f>
        <v>0</v>
      </c>
      <c r="T107" s="570">
        <f>'Datu ievade'!S74</f>
        <v>0</v>
      </c>
      <c r="U107" s="570">
        <f>'Datu ievade'!T74</f>
        <v>0</v>
      </c>
      <c r="V107" s="570">
        <f>'Datu ievade'!U74</f>
        <v>0</v>
      </c>
      <c r="W107" s="570">
        <f>'Datu ievade'!V74</f>
        <v>0</v>
      </c>
      <c r="X107" s="570">
        <f>'Datu ievade'!W74</f>
        <v>0</v>
      </c>
      <c r="Y107" s="570">
        <f>'Datu ievade'!X74</f>
        <v>0</v>
      </c>
      <c r="Z107" s="570">
        <f>'Datu ievade'!Y74</f>
        <v>0</v>
      </c>
      <c r="AA107" s="570">
        <f>'Datu ievade'!Z74</f>
        <v>0</v>
      </c>
      <c r="AB107" s="570">
        <f>'Datu ievade'!AA74</f>
        <v>0</v>
      </c>
      <c r="AC107" s="570">
        <f>'Datu ievade'!AB74</f>
        <v>0</v>
      </c>
      <c r="AD107" s="570">
        <f>'Datu ievade'!AC74</f>
        <v>0</v>
      </c>
      <c r="AE107" s="570">
        <f>'Datu ievade'!AD74</f>
        <v>0</v>
      </c>
      <c r="AF107" s="570">
        <f>'Datu ievade'!AE74</f>
        <v>0</v>
      </c>
      <c r="AG107" s="570">
        <f>'Datu ievade'!AF74</f>
        <v>0</v>
      </c>
      <c r="AH107" s="570">
        <f>'Datu ievade'!AG74</f>
        <v>0</v>
      </c>
      <c r="AK107" s="110"/>
      <c r="AM107" s="110"/>
      <c r="AO107" s="110"/>
      <c r="AQ107" s="110"/>
    </row>
    <row r="108" spans="1:43" outlineLevel="1" x14ac:dyDescent="0.2">
      <c r="A108" s="30" t="s">
        <v>454</v>
      </c>
      <c r="B108" s="570">
        <f>B106+B107</f>
        <v>716094.69</v>
      </c>
      <c r="C108" s="570">
        <f t="shared" ref="C108:I108" si="71">C106+C107</f>
        <v>423887.76999999996</v>
      </c>
      <c r="D108" s="570">
        <f t="shared" si="71"/>
        <v>633392.65</v>
      </c>
      <c r="E108" s="570">
        <f t="shared" si="71"/>
        <v>0</v>
      </c>
      <c r="F108" s="570">
        <f t="shared" si="71"/>
        <v>0</v>
      </c>
      <c r="G108" s="570">
        <f t="shared" si="71"/>
        <v>0</v>
      </c>
      <c r="H108" s="570">
        <v>0</v>
      </c>
      <c r="I108" s="570">
        <f t="shared" si="71"/>
        <v>0</v>
      </c>
      <c r="J108" s="570">
        <f t="shared" ref="J108:AH108" si="72">J106+J107</f>
        <v>0</v>
      </c>
      <c r="K108" s="570">
        <f t="shared" si="72"/>
        <v>0</v>
      </c>
      <c r="L108" s="570">
        <f t="shared" si="72"/>
        <v>0</v>
      </c>
      <c r="M108" s="570">
        <f t="shared" si="72"/>
        <v>0</v>
      </c>
      <c r="N108" s="570">
        <f t="shared" si="72"/>
        <v>0</v>
      </c>
      <c r="O108" s="570">
        <f t="shared" si="72"/>
        <v>0</v>
      </c>
      <c r="P108" s="570">
        <f t="shared" si="72"/>
        <v>0</v>
      </c>
      <c r="Q108" s="570">
        <f t="shared" si="72"/>
        <v>0</v>
      </c>
      <c r="R108" s="570">
        <f t="shared" si="72"/>
        <v>0</v>
      </c>
      <c r="S108" s="570">
        <f t="shared" si="72"/>
        <v>0</v>
      </c>
      <c r="T108" s="570">
        <f t="shared" si="72"/>
        <v>0</v>
      </c>
      <c r="U108" s="570">
        <f t="shared" si="72"/>
        <v>0</v>
      </c>
      <c r="V108" s="570">
        <f t="shared" si="72"/>
        <v>0</v>
      </c>
      <c r="W108" s="570">
        <f t="shared" si="72"/>
        <v>0</v>
      </c>
      <c r="X108" s="570">
        <f t="shared" si="72"/>
        <v>0</v>
      </c>
      <c r="Y108" s="570">
        <f t="shared" si="72"/>
        <v>0</v>
      </c>
      <c r="Z108" s="570">
        <f t="shared" si="72"/>
        <v>0</v>
      </c>
      <c r="AA108" s="570">
        <f t="shared" si="72"/>
        <v>0</v>
      </c>
      <c r="AB108" s="570">
        <f t="shared" si="72"/>
        <v>0</v>
      </c>
      <c r="AC108" s="570">
        <f t="shared" si="72"/>
        <v>0</v>
      </c>
      <c r="AD108" s="570">
        <f t="shared" si="72"/>
        <v>0</v>
      </c>
      <c r="AE108" s="570">
        <f t="shared" si="72"/>
        <v>0</v>
      </c>
      <c r="AF108" s="570">
        <f t="shared" si="72"/>
        <v>0</v>
      </c>
      <c r="AG108" s="570">
        <f t="shared" si="72"/>
        <v>0</v>
      </c>
      <c r="AH108" s="570">
        <f t="shared" si="72"/>
        <v>0</v>
      </c>
    </row>
    <row r="109" spans="1:43" outlineLevel="1" x14ac:dyDescent="0.2">
      <c r="A109" s="54"/>
      <c r="B109" s="622"/>
      <c r="C109" s="622"/>
      <c r="D109" s="622"/>
      <c r="E109" s="622"/>
      <c r="F109" s="622"/>
      <c r="G109" s="622"/>
      <c r="H109" s="622"/>
      <c r="I109" s="622"/>
      <c r="J109" s="622"/>
      <c r="K109" s="622"/>
      <c r="L109" s="622"/>
      <c r="M109" s="622"/>
      <c r="N109" s="622"/>
      <c r="O109" s="622"/>
      <c r="P109" s="622"/>
      <c r="Q109" s="622"/>
      <c r="R109" s="622"/>
      <c r="S109" s="622"/>
      <c r="T109" s="622"/>
      <c r="U109" s="622"/>
      <c r="V109" s="622"/>
      <c r="W109" s="622"/>
      <c r="X109" s="622"/>
      <c r="Y109" s="622"/>
      <c r="Z109" s="622"/>
      <c r="AA109" s="622"/>
      <c r="AB109" s="622"/>
      <c r="AC109" s="622"/>
      <c r="AD109" s="622"/>
      <c r="AE109" s="622"/>
      <c r="AF109" s="622"/>
      <c r="AG109" s="622"/>
      <c r="AH109" s="622"/>
    </row>
    <row r="110" spans="1:43" outlineLevel="1" x14ac:dyDescent="0.2">
      <c r="A110" s="30" t="s">
        <v>455</v>
      </c>
      <c r="B110" s="570">
        <f>'Datu ievade'!B66+'Datu ievade'!C66</f>
        <v>563917.72</v>
      </c>
      <c r="C110" s="570">
        <f>'Datu ievade'!D66</f>
        <v>332227.19238887564</v>
      </c>
      <c r="D110" s="570">
        <f>'Datu ievade'!E66</f>
        <v>523465</v>
      </c>
      <c r="E110" s="570">
        <v>0</v>
      </c>
      <c r="F110" s="570">
        <v>0</v>
      </c>
      <c r="G110" s="570">
        <f>'Datu ievade'!F66</f>
        <v>0</v>
      </c>
      <c r="H110" s="570">
        <f>'Datu ievade'!G66</f>
        <v>0</v>
      </c>
      <c r="I110" s="570">
        <f>'Datu ievade'!H66</f>
        <v>0</v>
      </c>
      <c r="J110" s="570">
        <f>'Datu ievade'!I66</f>
        <v>0</v>
      </c>
      <c r="K110" s="570">
        <f>'Datu ievade'!J66</f>
        <v>0</v>
      </c>
      <c r="L110" s="570">
        <f>'Datu ievade'!K66</f>
        <v>0</v>
      </c>
      <c r="M110" s="570">
        <f>'Datu ievade'!L66</f>
        <v>0</v>
      </c>
      <c r="N110" s="570">
        <f>'Datu ievade'!M66</f>
        <v>0</v>
      </c>
      <c r="O110" s="570">
        <f>'Datu ievade'!N66</f>
        <v>0</v>
      </c>
      <c r="P110" s="570">
        <f>'Datu ievade'!O66</f>
        <v>0</v>
      </c>
      <c r="Q110" s="570">
        <f>'Datu ievade'!P66</f>
        <v>0</v>
      </c>
      <c r="R110" s="570">
        <f>'Datu ievade'!Q66</f>
        <v>0</v>
      </c>
      <c r="S110" s="570">
        <f>'Datu ievade'!R66</f>
        <v>0</v>
      </c>
      <c r="T110" s="570">
        <f>'Datu ievade'!S66</f>
        <v>0</v>
      </c>
      <c r="U110" s="570">
        <f>'Datu ievade'!T66</f>
        <v>0</v>
      </c>
      <c r="V110" s="570">
        <f>'Datu ievade'!U66</f>
        <v>0</v>
      </c>
      <c r="W110" s="570">
        <f>'Datu ievade'!V66</f>
        <v>0</v>
      </c>
      <c r="X110" s="570">
        <f>'Datu ievade'!W66</f>
        <v>0</v>
      </c>
      <c r="Y110" s="570">
        <f>'Datu ievade'!X66</f>
        <v>0</v>
      </c>
      <c r="Z110" s="570">
        <f>'Datu ievade'!Y66</f>
        <v>0</v>
      </c>
      <c r="AA110" s="570">
        <f>'Datu ievade'!Z66</f>
        <v>0</v>
      </c>
      <c r="AB110" s="570">
        <f>'Datu ievade'!AA66</f>
        <v>0</v>
      </c>
      <c r="AC110" s="570">
        <f>'Datu ievade'!AB66</f>
        <v>0</v>
      </c>
      <c r="AD110" s="570">
        <f>'Datu ievade'!AC66</f>
        <v>0</v>
      </c>
      <c r="AE110" s="570">
        <f>'Datu ievade'!AD66</f>
        <v>0</v>
      </c>
      <c r="AF110" s="570">
        <f>'Datu ievade'!AE66</f>
        <v>0</v>
      </c>
      <c r="AG110" s="570">
        <f>'Datu ievade'!AF66</f>
        <v>0</v>
      </c>
      <c r="AH110" s="570">
        <f>'Datu ievade'!AG66</f>
        <v>0</v>
      </c>
      <c r="AK110" s="110"/>
      <c r="AM110" s="110"/>
      <c r="AO110" s="110"/>
      <c r="AQ110" s="110"/>
    </row>
    <row r="111" spans="1:43" outlineLevel="1" x14ac:dyDescent="0.2">
      <c r="A111" s="30" t="s">
        <v>456</v>
      </c>
      <c r="B111" s="570">
        <f>SUM('Datu ievade'!B68:B73)+SUM('Datu ievade'!C68:C74)</f>
        <v>144719.70000000001</v>
      </c>
      <c r="C111" s="570">
        <f>SUM('Datu ievade'!C68:C73)</f>
        <v>22657.33</v>
      </c>
      <c r="D111" s="570">
        <f>SUM('Datu ievade'!D68:D73)</f>
        <v>18093.277611124362</v>
      </c>
      <c r="E111" s="570">
        <v>0</v>
      </c>
      <c r="F111" s="570">
        <v>0</v>
      </c>
      <c r="G111" s="570">
        <f>G112-'Datu ievade'!F74</f>
        <v>0</v>
      </c>
      <c r="H111" s="570">
        <f>H112-'Datu ievade'!G74</f>
        <v>0</v>
      </c>
      <c r="I111" s="570">
        <f>I112-'Datu ievade'!H74</f>
        <v>0</v>
      </c>
      <c r="J111" s="570">
        <f>J112-'Datu ievade'!I74</f>
        <v>0</v>
      </c>
      <c r="K111" s="570">
        <f>K112-'Datu ievade'!J74</f>
        <v>0</v>
      </c>
      <c r="L111" s="570">
        <f>L112-'Datu ievade'!K74</f>
        <v>0</v>
      </c>
      <c r="M111" s="570">
        <f>M112-'Datu ievade'!L74</f>
        <v>0</v>
      </c>
      <c r="N111" s="570">
        <f>N112-'Datu ievade'!M74</f>
        <v>0</v>
      </c>
      <c r="O111" s="570">
        <f>O112-'Datu ievade'!N74</f>
        <v>0</v>
      </c>
      <c r="P111" s="570">
        <f>P112-'Datu ievade'!O74</f>
        <v>0</v>
      </c>
      <c r="Q111" s="570">
        <f>Q112-'Datu ievade'!P74</f>
        <v>0</v>
      </c>
      <c r="R111" s="570">
        <f>R112-'Datu ievade'!Q74</f>
        <v>0</v>
      </c>
      <c r="S111" s="570">
        <f>S112-'Datu ievade'!R74</f>
        <v>0</v>
      </c>
      <c r="T111" s="570">
        <f>T112-'Datu ievade'!S74</f>
        <v>0</v>
      </c>
      <c r="U111" s="570">
        <f>U112-'Datu ievade'!T74</f>
        <v>0</v>
      </c>
      <c r="V111" s="570">
        <f>V112-'Datu ievade'!U74</f>
        <v>0</v>
      </c>
      <c r="W111" s="570">
        <f>W112-'Datu ievade'!V74</f>
        <v>0</v>
      </c>
      <c r="X111" s="570">
        <f>X112-'Datu ievade'!W74</f>
        <v>0</v>
      </c>
      <c r="Y111" s="570">
        <f>Y112-'Datu ievade'!X74</f>
        <v>0</v>
      </c>
      <c r="Z111" s="570">
        <f>Z112-'Datu ievade'!Y74</f>
        <v>0</v>
      </c>
      <c r="AA111" s="570">
        <f>AA112-'Datu ievade'!Z74</f>
        <v>0</v>
      </c>
      <c r="AB111" s="570">
        <f>AB112-'Datu ievade'!AA74</f>
        <v>0</v>
      </c>
      <c r="AC111" s="570">
        <f>AC112-'Datu ievade'!AB74</f>
        <v>0</v>
      </c>
      <c r="AD111" s="570">
        <f>AD112-'Datu ievade'!AC74</f>
        <v>0</v>
      </c>
      <c r="AE111" s="570">
        <f>AE112-'Datu ievade'!AD74</f>
        <v>0</v>
      </c>
      <c r="AF111" s="570">
        <f>AF112-'Datu ievade'!AE74</f>
        <v>0</v>
      </c>
      <c r="AG111" s="570">
        <f>AG112-'Datu ievade'!AF74</f>
        <v>0</v>
      </c>
      <c r="AH111" s="570">
        <f>AH112-'Datu ievade'!AG74</f>
        <v>0</v>
      </c>
      <c r="AK111" s="110"/>
      <c r="AM111" s="110"/>
      <c r="AO111" s="110"/>
      <c r="AQ111" s="110"/>
    </row>
    <row r="112" spans="1:43" outlineLevel="1" x14ac:dyDescent="0.2">
      <c r="A112" s="30" t="s">
        <v>457</v>
      </c>
      <c r="B112" s="570">
        <f>'Datu ievade'!B75+'Datu ievade'!C75</f>
        <v>152176.97</v>
      </c>
      <c r="C112" s="570">
        <f>'Datu ievade'!D75</f>
        <v>91660.577611124361</v>
      </c>
      <c r="D112" s="570">
        <f>'Datu ievade'!E75</f>
        <v>109927.65</v>
      </c>
      <c r="E112" s="570">
        <v>0</v>
      </c>
      <c r="F112" s="570">
        <v>0</v>
      </c>
      <c r="G112" s="570">
        <f>'Datu ievade'!F75</f>
        <v>0</v>
      </c>
      <c r="H112" s="570">
        <f>'Datu ievade'!G75</f>
        <v>0</v>
      </c>
      <c r="I112" s="570">
        <f>'Datu ievade'!H75</f>
        <v>0</v>
      </c>
      <c r="J112" s="570">
        <f>'Datu ievade'!I75</f>
        <v>0</v>
      </c>
      <c r="K112" s="570">
        <f>'Datu ievade'!J75</f>
        <v>0</v>
      </c>
      <c r="L112" s="570">
        <f>'Datu ievade'!K75</f>
        <v>0</v>
      </c>
      <c r="M112" s="570">
        <f>'Datu ievade'!L75</f>
        <v>0</v>
      </c>
      <c r="N112" s="570">
        <f>'Datu ievade'!M75</f>
        <v>0</v>
      </c>
      <c r="O112" s="570">
        <f>'Datu ievade'!N75</f>
        <v>0</v>
      </c>
      <c r="P112" s="570">
        <f>'Datu ievade'!O75</f>
        <v>0</v>
      </c>
      <c r="Q112" s="570">
        <f>'Datu ievade'!P75</f>
        <v>0</v>
      </c>
      <c r="R112" s="570">
        <f>'Datu ievade'!Q75</f>
        <v>0</v>
      </c>
      <c r="S112" s="570">
        <f>'Datu ievade'!R75</f>
        <v>0</v>
      </c>
      <c r="T112" s="570">
        <f>'Datu ievade'!S75</f>
        <v>0</v>
      </c>
      <c r="U112" s="570">
        <f>'Datu ievade'!T75</f>
        <v>0</v>
      </c>
      <c r="V112" s="570">
        <f>'Datu ievade'!U75</f>
        <v>0</v>
      </c>
      <c r="W112" s="570">
        <f>'Datu ievade'!V75</f>
        <v>0</v>
      </c>
      <c r="X112" s="570">
        <f>'Datu ievade'!W75</f>
        <v>0</v>
      </c>
      <c r="Y112" s="570">
        <f>'Datu ievade'!X75</f>
        <v>0</v>
      </c>
      <c r="Z112" s="570">
        <f>'Datu ievade'!Y75</f>
        <v>0</v>
      </c>
      <c r="AA112" s="570">
        <f>'Datu ievade'!Z75</f>
        <v>0</v>
      </c>
      <c r="AB112" s="570">
        <f>'Datu ievade'!AA75</f>
        <v>0</v>
      </c>
      <c r="AC112" s="570">
        <f>'Datu ievade'!AB75</f>
        <v>0</v>
      </c>
      <c r="AD112" s="570">
        <f>'Datu ievade'!AC75</f>
        <v>0</v>
      </c>
      <c r="AE112" s="570">
        <f>'Datu ievade'!AD75</f>
        <v>0</v>
      </c>
      <c r="AF112" s="570">
        <f>'Datu ievade'!AE75</f>
        <v>0</v>
      </c>
      <c r="AG112" s="570">
        <f>'Datu ievade'!AF75</f>
        <v>0</v>
      </c>
      <c r="AH112" s="570">
        <f>'Datu ievade'!AG75</f>
        <v>0</v>
      </c>
      <c r="AK112" s="110"/>
      <c r="AM112" s="110"/>
      <c r="AO112" s="110"/>
      <c r="AQ112" s="110"/>
    </row>
    <row r="113" spans="1:43" x14ac:dyDescent="0.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K113" s="110"/>
      <c r="AM113" s="110"/>
      <c r="AO113" s="110"/>
      <c r="AQ113" s="110"/>
    </row>
    <row r="114" spans="1:43" ht="17.25" customHeight="1" x14ac:dyDescent="0.2">
      <c r="A114" s="428" t="s">
        <v>458</v>
      </c>
      <c r="AK114" s="110"/>
      <c r="AM114" s="110"/>
      <c r="AO114" s="110"/>
      <c r="AQ114" s="110"/>
    </row>
    <row r="115" spans="1:43" x14ac:dyDescent="0.2">
      <c r="A115" s="28" t="s">
        <v>459</v>
      </c>
      <c r="B115" s="648">
        <f>ROUND(SUM(B106:AG106),2)</f>
        <v>1465599.27</v>
      </c>
      <c r="C115" s="110"/>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0"/>
      <c r="Z115" s="110"/>
      <c r="AA115" s="110"/>
      <c r="AB115" s="110"/>
      <c r="AC115" s="110"/>
      <c r="AD115" s="110"/>
      <c r="AE115" s="110"/>
      <c r="AF115" s="110"/>
      <c r="AG115" s="110"/>
      <c r="AH115" s="110"/>
      <c r="AK115" s="110"/>
      <c r="AM115" s="110"/>
      <c r="AO115" s="110"/>
      <c r="AQ115" s="110"/>
    </row>
    <row r="116" spans="1:43" x14ac:dyDescent="0.2">
      <c r="A116" s="28" t="s">
        <v>460</v>
      </c>
      <c r="B116" s="648">
        <f>NPV('Kopējie pieņēmumi'!$B$18,B106:AG106)</f>
        <v>1307254.9722097844</v>
      </c>
      <c r="C116" s="647" t="s">
        <v>461</v>
      </c>
      <c r="D116" s="620"/>
      <c r="E116" s="620"/>
      <c r="F116" s="647" t="s">
        <v>462</v>
      </c>
      <c r="G116" s="620"/>
      <c r="H116" s="620"/>
      <c r="I116" s="620"/>
      <c r="J116" s="620"/>
      <c r="K116" s="620"/>
      <c r="L116" s="620"/>
      <c r="M116" s="620"/>
      <c r="N116" s="620"/>
      <c r="O116" s="620"/>
      <c r="P116" s="620"/>
      <c r="Q116" s="620"/>
      <c r="R116" s="620"/>
      <c r="S116" s="620"/>
      <c r="T116" s="620"/>
      <c r="U116" s="620"/>
      <c r="V116" s="620"/>
      <c r="W116" s="620"/>
      <c r="X116" s="620"/>
      <c r="Y116" s="620"/>
      <c r="Z116" s="620"/>
      <c r="AA116" s="620"/>
      <c r="AB116" s="620"/>
      <c r="AC116" s="620"/>
      <c r="AD116" s="110"/>
      <c r="AE116" s="110"/>
      <c r="AF116" s="110"/>
      <c r="AG116" s="110"/>
      <c r="AH116" s="110"/>
      <c r="AK116" s="110"/>
      <c r="AM116" s="110"/>
      <c r="AO116" s="110"/>
      <c r="AQ116" s="110"/>
    </row>
    <row r="117" spans="1:43" x14ac:dyDescent="0.2">
      <c r="A117" s="28" t="s">
        <v>463</v>
      </c>
      <c r="B117" s="648">
        <f>ROUND(SUM(B110:AG110),2)</f>
        <v>1419609.91</v>
      </c>
      <c r="C117" s="647"/>
      <c r="D117" s="110"/>
      <c r="E117" s="110"/>
      <c r="F117" s="110"/>
      <c r="G117" s="110"/>
      <c r="H117" s="110"/>
      <c r="I117" s="110"/>
      <c r="J117" s="110"/>
      <c r="K117" s="110"/>
      <c r="L117" s="110"/>
      <c r="M117" s="110"/>
      <c r="N117" s="110"/>
      <c r="O117" s="110"/>
      <c r="P117" s="110"/>
      <c r="Q117" s="110"/>
      <c r="R117" s="110"/>
      <c r="S117" s="110"/>
      <c r="T117" s="110"/>
      <c r="U117" s="110"/>
      <c r="V117" s="110"/>
      <c r="W117" s="110"/>
      <c r="X117" s="110"/>
      <c r="Y117" s="110"/>
      <c r="Z117" s="110"/>
      <c r="AA117" s="110"/>
      <c r="AB117" s="110"/>
      <c r="AC117" s="110"/>
      <c r="AD117" s="110"/>
      <c r="AE117" s="110"/>
      <c r="AF117" s="110"/>
      <c r="AG117" s="110"/>
      <c r="AH117" s="110"/>
      <c r="AK117" s="110"/>
      <c r="AM117" s="110"/>
      <c r="AO117" s="110"/>
      <c r="AQ117" s="110"/>
    </row>
    <row r="118" spans="1:43" x14ac:dyDescent="0.2">
      <c r="A118" s="28" t="s">
        <v>464</v>
      </c>
      <c r="B118" s="648">
        <f>NPV('Kopējie pieņēmumi'!$B$18,B110:AG110)</f>
        <v>1264890.1069446572</v>
      </c>
      <c r="C118" s="647" t="s">
        <v>461</v>
      </c>
      <c r="D118" s="620"/>
      <c r="E118" s="620"/>
      <c r="F118" s="110"/>
      <c r="G118" s="110"/>
      <c r="H118" s="110"/>
      <c r="I118" s="110"/>
      <c r="J118" s="110"/>
      <c r="K118" s="110"/>
      <c r="L118" s="110"/>
      <c r="M118" s="110"/>
      <c r="N118" s="110"/>
      <c r="O118" s="110"/>
      <c r="P118" s="110"/>
      <c r="Q118" s="110"/>
      <c r="R118" s="110"/>
      <c r="S118" s="110"/>
      <c r="T118" s="110"/>
      <c r="U118" s="110"/>
      <c r="V118" s="110"/>
      <c r="W118" s="110"/>
      <c r="X118" s="110"/>
      <c r="Y118" s="110"/>
      <c r="Z118" s="110"/>
      <c r="AA118" s="110"/>
      <c r="AB118" s="110"/>
      <c r="AC118" s="110"/>
      <c r="AD118" s="110"/>
      <c r="AE118" s="110"/>
      <c r="AF118" s="110"/>
      <c r="AG118" s="110"/>
      <c r="AH118" s="110"/>
      <c r="AK118" s="110"/>
      <c r="AM118" s="110"/>
      <c r="AO118" s="110"/>
      <c r="AQ118" s="110"/>
    </row>
    <row r="119" spans="1:43" x14ac:dyDescent="0.2">
      <c r="A119" s="28" t="s">
        <v>465</v>
      </c>
      <c r="B119" s="648">
        <f>NPV('Kopējie pieņēmumi'!$B$18,'Saimnieciskas pamatdarbibas NP'!C192:AG192)</f>
        <v>257213.67700387404</v>
      </c>
      <c r="C119" s="647" t="s">
        <v>461</v>
      </c>
      <c r="D119" s="620"/>
      <c r="E119" s="620"/>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10"/>
      <c r="AB119" s="110"/>
      <c r="AC119" s="110"/>
      <c r="AD119" s="110"/>
      <c r="AE119" s="110"/>
      <c r="AF119" s="110"/>
      <c r="AG119" s="110"/>
      <c r="AH119" s="110"/>
      <c r="AK119" s="110"/>
      <c r="AM119" s="110"/>
      <c r="AO119" s="110"/>
      <c r="AQ119" s="110"/>
    </row>
    <row r="120" spans="1:43" x14ac:dyDescent="0.2">
      <c r="A120" s="28" t="s">
        <v>466</v>
      </c>
      <c r="B120" s="648">
        <f>NPV('Kopējie pieņēmumi'!$B$18,'Saimnieciskas pamatdarbibas NP'!C191:AG191)</f>
        <v>294818.52938471531</v>
      </c>
      <c r="C120" s="647" t="s">
        <v>461</v>
      </c>
      <c r="D120" s="620"/>
      <c r="E120" s="620"/>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10"/>
      <c r="AB120" s="110"/>
      <c r="AC120" s="110"/>
      <c r="AD120" s="110"/>
      <c r="AE120" s="110"/>
      <c r="AF120" s="110"/>
      <c r="AG120" s="110"/>
      <c r="AH120" s="110"/>
      <c r="AK120" s="110"/>
      <c r="AM120" s="110"/>
      <c r="AO120" s="110"/>
      <c r="AQ120" s="110"/>
    </row>
    <row r="121" spans="1:43" x14ac:dyDescent="0.2">
      <c r="A121" s="28" t="s">
        <v>467</v>
      </c>
      <c r="B121" s="648">
        <f>NPV('Kopējie pieņēmumi'!$B$19,'Saimnieciskas pamatdarbibas NP'!C178:AG178)</f>
        <v>30106.709494870847</v>
      </c>
      <c r="C121" s="647" t="s">
        <v>461</v>
      </c>
      <c r="D121" s="620"/>
      <c r="E121" s="620"/>
      <c r="F121" s="110"/>
      <c r="G121" s="110"/>
      <c r="H121" s="110"/>
      <c r="I121" s="110"/>
      <c r="J121" s="110"/>
      <c r="K121" s="110"/>
      <c r="L121" s="110"/>
      <c r="M121" s="110"/>
      <c r="N121" s="110"/>
      <c r="O121" s="110"/>
      <c r="P121" s="110"/>
      <c r="Q121" s="110"/>
      <c r="R121" s="110"/>
      <c r="S121" s="110"/>
      <c r="T121" s="110"/>
      <c r="U121" s="110"/>
      <c r="V121" s="110"/>
      <c r="W121" s="110"/>
      <c r="X121" s="110"/>
      <c r="Y121" s="110"/>
      <c r="Z121" s="110"/>
      <c r="AA121" s="110"/>
      <c r="AB121" s="110"/>
      <c r="AC121" s="110"/>
      <c r="AD121" s="110"/>
      <c r="AE121" s="110"/>
      <c r="AF121" s="110"/>
      <c r="AG121" s="110"/>
      <c r="AH121" s="110"/>
      <c r="AK121" s="110"/>
      <c r="AM121" s="110"/>
      <c r="AO121" s="110"/>
      <c r="AQ121" s="110"/>
    </row>
    <row r="122" spans="1:43" x14ac:dyDescent="0.2">
      <c r="A122" s="28" t="s">
        <v>468</v>
      </c>
      <c r="B122" s="648">
        <f>NPV('Kopējie pieņēmumi'!$B$18,C190:AG190)</f>
        <v>382339.02639148355</v>
      </c>
      <c r="C122" s="647" t="s">
        <v>461</v>
      </c>
      <c r="D122" s="620"/>
      <c r="E122" s="620"/>
      <c r="F122" s="110"/>
      <c r="G122" s="110"/>
      <c r="H122" s="110"/>
      <c r="I122" s="110"/>
      <c r="J122" s="110"/>
      <c r="K122" s="110"/>
      <c r="L122" s="110"/>
      <c r="M122" s="110"/>
      <c r="N122" s="110"/>
      <c r="O122" s="110"/>
      <c r="P122" s="110"/>
      <c r="Q122" s="110"/>
      <c r="R122" s="110"/>
      <c r="S122" s="110"/>
      <c r="T122" s="110"/>
      <c r="U122" s="110"/>
      <c r="V122" s="110"/>
      <c r="W122" s="110"/>
      <c r="X122" s="110"/>
      <c r="Y122" s="110"/>
      <c r="Z122" s="110"/>
      <c r="AA122" s="110"/>
      <c r="AB122" s="110"/>
      <c r="AC122" s="110"/>
      <c r="AD122" s="110"/>
      <c r="AE122" s="110"/>
      <c r="AF122" s="110"/>
      <c r="AG122" s="110"/>
      <c r="AH122" s="110"/>
      <c r="AK122" s="110"/>
      <c r="AM122" s="110"/>
      <c r="AO122" s="110"/>
      <c r="AQ122" s="110"/>
    </row>
    <row r="123" spans="1:43" x14ac:dyDescent="0.2">
      <c r="A123" s="28" t="s">
        <v>469</v>
      </c>
      <c r="B123" s="648">
        <f>NPV('Kopējie pieņēmumi'!$B$19,C191:AG191)</f>
        <v>30106.709494870847</v>
      </c>
      <c r="C123" s="647" t="s">
        <v>461</v>
      </c>
      <c r="D123" s="620"/>
      <c r="E123" s="620"/>
      <c r="F123" s="110"/>
      <c r="G123" s="110"/>
      <c r="H123" s="110"/>
      <c r="I123" s="110"/>
      <c r="J123" s="110"/>
      <c r="K123" s="110"/>
      <c r="L123" s="110"/>
      <c r="M123" s="110"/>
      <c r="N123" s="110"/>
      <c r="O123" s="110"/>
      <c r="P123" s="110"/>
      <c r="Q123" s="110"/>
      <c r="R123" s="110"/>
      <c r="S123" s="110"/>
      <c r="T123" s="110"/>
      <c r="U123" s="110"/>
      <c r="V123" s="110"/>
      <c r="W123" s="110"/>
      <c r="X123" s="110"/>
      <c r="Y123" s="110"/>
      <c r="Z123" s="110"/>
      <c r="AA123" s="110"/>
      <c r="AB123" s="110"/>
      <c r="AC123" s="110"/>
      <c r="AD123" s="110"/>
      <c r="AE123" s="110"/>
      <c r="AF123" s="110"/>
      <c r="AG123" s="110"/>
      <c r="AH123" s="110"/>
      <c r="AK123" s="110"/>
      <c r="AM123" s="110"/>
      <c r="AO123" s="110"/>
      <c r="AQ123" s="110"/>
    </row>
    <row r="124" spans="1:43" x14ac:dyDescent="0.2">
      <c r="A124" s="28" t="s">
        <v>470</v>
      </c>
      <c r="B124" s="648">
        <f>IF('Kopējie pieņēmumi'!$B$34=Aprēķini!B74,B80+B86+B92,0)</f>
        <v>0</v>
      </c>
      <c r="C124" s="82">
        <f>IF('Kopējie pieņēmumi'!$B$34=Aprēķini!C74,C80+C86+C92,0)</f>
        <v>0</v>
      </c>
      <c r="D124" s="82">
        <f>IF('Kopējie pieņēmumi'!$B$34=Aprēķini!D74,D80+D86+D92,0)</f>
        <v>0</v>
      </c>
      <c r="E124" s="82">
        <f>IF('Kopējie pieņēmumi'!$B$34=Aprēķini!E74,E80+E86+E92,0)</f>
        <v>0</v>
      </c>
      <c r="F124" s="82">
        <f>IF('Kopējie pieņēmumi'!$B$34=Aprēķini!F74,F80+F86+F92,0)</f>
        <v>0</v>
      </c>
      <c r="G124" s="82">
        <f>IF('Kopējie pieņēmumi'!$B$34=Aprēķini!G74,G80+G86+G92,0)</f>
        <v>0</v>
      </c>
      <c r="H124" s="82">
        <f>IF('Kopējie pieņēmumi'!$B$34=Aprēķini!H74,H80+H86+H92,0)</f>
        <v>0</v>
      </c>
      <c r="I124" s="82">
        <f>IF('Kopējie pieņēmumi'!$B$34=Aprēķini!I74,I80+I86+I92,0)</f>
        <v>0</v>
      </c>
      <c r="J124" s="82">
        <f>IF('Kopējie pieņēmumi'!$B$34=Aprēķini!J74,J80+J86+J92,0)</f>
        <v>0</v>
      </c>
      <c r="K124" s="82">
        <f>IF('Kopējie pieņēmumi'!$B$34=Aprēķini!K74,K80+K86+K92,0)</f>
        <v>0</v>
      </c>
      <c r="L124" s="82">
        <f>IF('Kopējie pieņēmumi'!$B$34=Aprēķini!L74,L80+L86+L92,0)</f>
        <v>0</v>
      </c>
      <c r="M124" s="82">
        <f>IF('Kopējie pieņēmumi'!$B$34=Aprēķini!M74,M80+M86+M92,0)</f>
        <v>0</v>
      </c>
      <c r="N124" s="82">
        <f>IF('Kopējie pieņēmumi'!$B$34=Aprēķini!N74,N80+N86+N92,0)</f>
        <v>0</v>
      </c>
      <c r="O124" s="82">
        <f>IF('Kopējie pieņēmumi'!$B$34=Aprēķini!O74,O80+O86+O92,0)</f>
        <v>0</v>
      </c>
      <c r="P124" s="82">
        <f>IF('Kopējie pieņēmumi'!$B$34=Aprēķini!P74,P80+P86+P92,0)</f>
        <v>0</v>
      </c>
      <c r="Q124" s="82">
        <f>IF('Kopējie pieņēmumi'!$B$34=Aprēķini!Q74,Q80+Q86+Q92,0)</f>
        <v>0</v>
      </c>
      <c r="R124" s="82">
        <f>IF('Kopējie pieņēmumi'!$B$34=Aprēķini!R74,R80+R86+R92,0)</f>
        <v>0</v>
      </c>
      <c r="S124" s="82">
        <f>IF('Kopējie pieņēmumi'!$B$34=Aprēķini!S74,S80+S86+S92,0)</f>
        <v>0</v>
      </c>
      <c r="T124" s="82">
        <f>IF('Kopējie pieņēmumi'!$B$34=Aprēķini!T74,T80+T86+T92,0)</f>
        <v>0</v>
      </c>
      <c r="U124" s="82">
        <f>IF('Kopējie pieņēmumi'!$B$34=Aprēķini!U74,U80+U86+U92,0)</f>
        <v>0</v>
      </c>
      <c r="V124" s="82">
        <f>IF('Kopējie pieņēmumi'!$B$34=Aprēķini!V74,V80+V86+V92,0)</f>
        <v>0</v>
      </c>
      <c r="W124" s="82">
        <f>IF('Kopējie pieņēmumi'!$B$34=Aprēķini!W74,W80+W86+W92,0)</f>
        <v>0</v>
      </c>
      <c r="X124" s="82">
        <f>IF('Kopējie pieņēmumi'!$B$34=Aprēķini!X74,X80+X86+X92,0)</f>
        <v>0</v>
      </c>
      <c r="Y124" s="82">
        <f>IF('Kopējie pieņēmumi'!$B$34=Aprēķini!Y74,Y80+Y86+Y92,0)</f>
        <v>0</v>
      </c>
      <c r="Z124" s="82">
        <f>IF('Kopējie pieņēmumi'!$B$34=Aprēķini!Z74,Z80+Z86+Z92,0)</f>
        <v>0</v>
      </c>
      <c r="AA124" s="82">
        <f>IF('Kopējie pieņēmumi'!$B$34=Aprēķini!AA74,AA80+AA86+AA92,0)</f>
        <v>0</v>
      </c>
      <c r="AB124" s="82">
        <f>IF('Kopējie pieņēmumi'!$B$34=Aprēķini!AB74,AB80+AB86+AB92,0)</f>
        <v>0</v>
      </c>
      <c r="AC124" s="82">
        <f>IF('Kopējie pieņēmumi'!$B$34=Aprēķini!AC74,AC80+AC86+AC92,0)</f>
        <v>0</v>
      </c>
      <c r="AD124" s="82">
        <f>IF('Kopējie pieņēmumi'!$B$34=Aprēķini!AD74,AD80+AD86+AD92,0)</f>
        <v>0</v>
      </c>
      <c r="AE124" s="82">
        <f>IF('Kopējie pieņēmumi'!$B$34=Aprēķini!AE74,AE80+AE86+AE92,0)</f>
        <v>0</v>
      </c>
      <c r="AF124" s="82">
        <f>IF('Kopējie pieņēmumi'!$B$34=Aprēķini!AF74,AF80+AF86+AF92,0)</f>
        <v>0</v>
      </c>
      <c r="AG124" s="82">
        <f>IF('Kopējie pieņēmumi'!$B$34=Aprēķini!AG74,AG80+AG86+AG92,0)</f>
        <v>548639</v>
      </c>
      <c r="AH124" s="82">
        <f>IF('Kopējie pieņēmumi'!$B$34=Aprēķini!AH74,AH80+AH86+AH92,0)</f>
        <v>0</v>
      </c>
      <c r="AK124" s="110"/>
      <c r="AM124" s="110"/>
      <c r="AO124" s="110"/>
      <c r="AQ124" s="110"/>
    </row>
    <row r="125" spans="1:43" x14ac:dyDescent="0.2">
      <c r="A125" s="28" t="s">
        <v>470</v>
      </c>
      <c r="B125" s="648">
        <f>SUM(B124:AG124)</f>
        <v>548639</v>
      </c>
      <c r="C125" s="647" t="s">
        <v>461</v>
      </c>
      <c r="D125" s="620"/>
      <c r="E125" s="620"/>
      <c r="F125" s="110"/>
      <c r="G125" s="110"/>
      <c r="H125" s="110"/>
      <c r="I125" s="110"/>
      <c r="J125" s="110"/>
      <c r="K125" s="110"/>
      <c r="L125" s="110"/>
      <c r="M125" s="110"/>
      <c r="N125" s="110"/>
      <c r="O125" s="110"/>
      <c r="P125" s="110"/>
      <c r="Q125" s="110"/>
      <c r="R125" s="110"/>
      <c r="S125" s="110"/>
      <c r="T125" s="110"/>
      <c r="U125" s="110"/>
      <c r="V125" s="110"/>
      <c r="W125" s="110"/>
      <c r="X125" s="110"/>
      <c r="Y125" s="110"/>
      <c r="Z125" s="110"/>
      <c r="AA125" s="110"/>
      <c r="AB125" s="110"/>
      <c r="AC125" s="110"/>
      <c r="AD125" s="110"/>
      <c r="AE125" s="110"/>
      <c r="AF125" s="110"/>
      <c r="AG125" s="110"/>
      <c r="AH125" s="110"/>
      <c r="AK125" s="110"/>
      <c r="AM125" s="110"/>
      <c r="AO125" s="110"/>
      <c r="AQ125" s="110"/>
    </row>
    <row r="126" spans="1:43" x14ac:dyDescent="0.2">
      <c r="A126" s="28" t="s">
        <v>471</v>
      </c>
      <c r="B126" s="648">
        <f>NPV('Kopējie pieņēmumi'!$B$18,Aprēķini!B124:AG124)</f>
        <v>82488.687094032299</v>
      </c>
      <c r="C126" s="647" t="s">
        <v>461</v>
      </c>
      <c r="D126" s="620"/>
      <c r="E126" s="620"/>
      <c r="F126" s="110"/>
      <c r="G126" s="110"/>
      <c r="H126" s="110"/>
      <c r="I126" s="110"/>
      <c r="J126" s="110"/>
      <c r="K126" s="110"/>
      <c r="L126" s="110"/>
      <c r="M126" s="110"/>
      <c r="N126" s="110"/>
      <c r="O126" s="110"/>
      <c r="P126" s="110"/>
      <c r="Q126" s="110"/>
      <c r="R126" s="110"/>
      <c r="S126" s="110"/>
      <c r="T126" s="110"/>
      <c r="U126" s="110"/>
      <c r="V126" s="110"/>
      <c r="W126" s="110"/>
      <c r="X126" s="110"/>
      <c r="Y126" s="110"/>
      <c r="Z126" s="110"/>
      <c r="AA126" s="110"/>
      <c r="AB126" s="110"/>
      <c r="AC126" s="110"/>
      <c r="AD126" s="110"/>
      <c r="AE126" s="110"/>
      <c r="AF126" s="110"/>
      <c r="AG126" s="110"/>
      <c r="AH126" s="110"/>
      <c r="AK126" s="110"/>
      <c r="AM126" s="110"/>
      <c r="AO126" s="110"/>
      <c r="AQ126" s="110"/>
    </row>
    <row r="127" spans="1:43" x14ac:dyDescent="0.2">
      <c r="A127" s="118" t="s">
        <v>472</v>
      </c>
      <c r="B127" s="110"/>
      <c r="C127" s="110"/>
      <c r="D127" s="110"/>
      <c r="E127" s="110"/>
      <c r="F127" s="110"/>
      <c r="G127" s="110"/>
      <c r="H127" s="110"/>
      <c r="I127" s="110"/>
      <c r="J127" s="110"/>
      <c r="K127" s="110"/>
      <c r="L127" s="110"/>
      <c r="M127" s="110"/>
      <c r="N127" s="110"/>
      <c r="O127" s="110"/>
      <c r="P127" s="110"/>
      <c r="Q127" s="110"/>
      <c r="R127" s="110"/>
      <c r="S127" s="110"/>
      <c r="T127" s="110"/>
      <c r="U127" s="110"/>
      <c r="V127" s="110"/>
      <c r="W127" s="110"/>
      <c r="X127" s="110"/>
      <c r="Y127" s="110"/>
      <c r="Z127" s="110"/>
      <c r="AA127" s="110"/>
      <c r="AB127" s="110"/>
      <c r="AC127" s="110"/>
      <c r="AD127" s="110"/>
      <c r="AE127" s="110"/>
      <c r="AF127" s="110"/>
      <c r="AG127" s="110"/>
      <c r="AH127" s="110"/>
      <c r="AK127" s="110"/>
      <c r="AM127" s="110"/>
      <c r="AO127" s="110"/>
      <c r="AQ127" s="110"/>
    </row>
    <row r="128" spans="1:43" x14ac:dyDescent="0.2">
      <c r="A128" s="28" t="s">
        <v>473</v>
      </c>
      <c r="B128" s="291">
        <f>SUM(B139:E139)/SUM(B155:E155)</f>
        <v>2.5777549419169925E-2</v>
      </c>
      <c r="AK128" s="110"/>
      <c r="AM128" s="110"/>
      <c r="AO128" s="110"/>
      <c r="AQ128" s="110"/>
    </row>
    <row r="129" spans="1:43" x14ac:dyDescent="0.2">
      <c r="A129" s="28" t="s">
        <v>474</v>
      </c>
      <c r="B129" s="291">
        <f>SUM(B147:D147)/SUM(B155:D155)</f>
        <v>0.9742224505808299</v>
      </c>
      <c r="AK129" s="110"/>
      <c r="AM129" s="110"/>
      <c r="AO129" s="110"/>
      <c r="AQ129" s="110"/>
    </row>
    <row r="130" spans="1:43" x14ac:dyDescent="0.2">
      <c r="AK130" s="110"/>
      <c r="AM130" s="110"/>
      <c r="AO130" s="110"/>
      <c r="AQ130" s="110"/>
    </row>
    <row r="131" spans="1:43" ht="15" x14ac:dyDescent="0.2">
      <c r="A131" s="428" t="s">
        <v>475</v>
      </c>
      <c r="B131" s="118"/>
      <c r="C131" s="118"/>
      <c r="D131" s="118"/>
      <c r="AK131" s="110"/>
      <c r="AM131" s="110"/>
      <c r="AO131" s="110"/>
      <c r="AQ131" s="110"/>
    </row>
    <row r="132" spans="1:43" x14ac:dyDescent="0.2">
      <c r="A132" s="30"/>
      <c r="B132" s="522">
        <f>Aprēķini!B6</f>
        <v>2017</v>
      </c>
      <c r="C132" s="522">
        <f t="shared" ref="C132:AG132" si="73">B132+1</f>
        <v>2018</v>
      </c>
      <c r="D132" s="522">
        <f t="shared" si="73"/>
        <v>2019</v>
      </c>
      <c r="E132" s="522">
        <f t="shared" si="73"/>
        <v>2020</v>
      </c>
      <c r="F132" s="522">
        <f t="shared" si="73"/>
        <v>2021</v>
      </c>
      <c r="G132" s="522">
        <f t="shared" si="73"/>
        <v>2022</v>
      </c>
      <c r="H132" s="522">
        <f t="shared" si="73"/>
        <v>2023</v>
      </c>
      <c r="I132" s="522">
        <f t="shared" si="73"/>
        <v>2024</v>
      </c>
      <c r="J132" s="522">
        <f t="shared" si="73"/>
        <v>2025</v>
      </c>
      <c r="K132" s="522">
        <f t="shared" si="73"/>
        <v>2026</v>
      </c>
      <c r="L132" s="522">
        <f t="shared" si="73"/>
        <v>2027</v>
      </c>
      <c r="M132" s="522">
        <f t="shared" si="73"/>
        <v>2028</v>
      </c>
      <c r="N132" s="522">
        <f t="shared" si="73"/>
        <v>2029</v>
      </c>
      <c r="O132" s="522">
        <f t="shared" si="73"/>
        <v>2030</v>
      </c>
      <c r="P132" s="522">
        <f t="shared" si="73"/>
        <v>2031</v>
      </c>
      <c r="Q132" s="522">
        <f t="shared" si="73"/>
        <v>2032</v>
      </c>
      <c r="R132" s="522">
        <f t="shared" si="73"/>
        <v>2033</v>
      </c>
      <c r="S132" s="522">
        <f t="shared" si="73"/>
        <v>2034</v>
      </c>
      <c r="T132" s="522">
        <f t="shared" si="73"/>
        <v>2035</v>
      </c>
      <c r="U132" s="522">
        <f t="shared" si="73"/>
        <v>2036</v>
      </c>
      <c r="V132" s="522">
        <f t="shared" si="73"/>
        <v>2037</v>
      </c>
      <c r="W132" s="522">
        <f t="shared" si="73"/>
        <v>2038</v>
      </c>
      <c r="X132" s="522">
        <f t="shared" si="73"/>
        <v>2039</v>
      </c>
      <c r="Y132" s="522">
        <f t="shared" si="73"/>
        <v>2040</v>
      </c>
      <c r="Z132" s="522">
        <f t="shared" si="73"/>
        <v>2041</v>
      </c>
      <c r="AA132" s="522">
        <f t="shared" si="73"/>
        <v>2042</v>
      </c>
      <c r="AB132" s="522">
        <f t="shared" si="73"/>
        <v>2043</v>
      </c>
      <c r="AC132" s="522">
        <f t="shared" si="73"/>
        <v>2044</v>
      </c>
      <c r="AD132" s="522">
        <f t="shared" si="73"/>
        <v>2045</v>
      </c>
      <c r="AE132" s="522">
        <f t="shared" si="73"/>
        <v>2046</v>
      </c>
      <c r="AF132" s="522">
        <f t="shared" si="73"/>
        <v>2047</v>
      </c>
      <c r="AG132" s="522">
        <f t="shared" si="73"/>
        <v>2048</v>
      </c>
      <c r="AH132" s="522">
        <f>AG132+1</f>
        <v>2049</v>
      </c>
      <c r="AK132" s="110"/>
      <c r="AM132" s="110"/>
      <c r="AO132" s="110"/>
      <c r="AQ132" s="110"/>
    </row>
    <row r="133" spans="1:43" s="292" customFormat="1" x14ac:dyDescent="0.2">
      <c r="A133" s="627" t="s">
        <v>476</v>
      </c>
      <c r="B133" s="622"/>
      <c r="C133" s="622"/>
      <c r="D133" s="622"/>
      <c r="E133" s="622"/>
      <c r="F133" s="622"/>
      <c r="G133" s="622"/>
      <c r="H133" s="622"/>
      <c r="I133" s="622"/>
      <c r="J133" s="622"/>
      <c r="K133" s="622"/>
      <c r="L133" s="622"/>
      <c r="M133" s="622"/>
      <c r="N133" s="622"/>
      <c r="O133" s="622"/>
      <c r="P133" s="622"/>
      <c r="Q133" s="622"/>
      <c r="R133" s="622"/>
      <c r="S133" s="622"/>
      <c r="T133" s="622"/>
      <c r="U133" s="622"/>
      <c r="V133" s="622"/>
      <c r="W133" s="622"/>
      <c r="X133" s="622"/>
      <c r="Y133" s="622"/>
      <c r="Z133" s="622"/>
      <c r="AA133" s="622"/>
      <c r="AB133" s="622"/>
      <c r="AC133" s="622"/>
      <c r="AD133" s="622"/>
      <c r="AE133" s="622"/>
      <c r="AF133" s="622"/>
      <c r="AG133" s="622"/>
      <c r="AH133" s="622"/>
      <c r="AK133" s="110"/>
      <c r="AM133" s="110"/>
      <c r="AN133" s="28"/>
      <c r="AO133" s="110"/>
      <c r="AP133" s="28"/>
      <c r="AQ133" s="110"/>
    </row>
    <row r="134" spans="1:43" s="292" customFormat="1" x14ac:dyDescent="0.2">
      <c r="A134" s="30" t="s">
        <v>237</v>
      </c>
      <c r="B134" s="571">
        <f>'Datu ievade'!B69+'Datu ievade'!C69</f>
        <v>22272.93</v>
      </c>
      <c r="C134" s="571">
        <f>'Datu ievade'!D69</f>
        <v>12701.627611124361</v>
      </c>
      <c r="D134" s="571">
        <f>'Datu ievade'!E69</f>
        <v>0</v>
      </c>
      <c r="E134" s="571">
        <v>0</v>
      </c>
      <c r="F134" s="571">
        <v>0</v>
      </c>
      <c r="G134" s="571">
        <v>0</v>
      </c>
      <c r="H134" s="571">
        <v>0</v>
      </c>
      <c r="I134" s="571">
        <v>0</v>
      </c>
      <c r="J134" s="571">
        <v>0</v>
      </c>
      <c r="K134" s="571">
        <v>0</v>
      </c>
      <c r="L134" s="571">
        <v>0</v>
      </c>
      <c r="M134" s="571">
        <v>0</v>
      </c>
      <c r="N134" s="571">
        <v>0</v>
      </c>
      <c r="O134" s="571">
        <v>0</v>
      </c>
      <c r="P134" s="571">
        <v>0</v>
      </c>
      <c r="Q134" s="571">
        <v>0</v>
      </c>
      <c r="R134" s="571">
        <v>0</v>
      </c>
      <c r="S134" s="571">
        <v>0</v>
      </c>
      <c r="T134" s="571">
        <v>0</v>
      </c>
      <c r="U134" s="571">
        <v>0</v>
      </c>
      <c r="V134" s="571">
        <v>0</v>
      </c>
      <c r="W134" s="571">
        <v>0</v>
      </c>
      <c r="X134" s="571">
        <v>0</v>
      </c>
      <c r="Y134" s="571">
        <v>0</v>
      </c>
      <c r="Z134" s="571">
        <v>0</v>
      </c>
      <c r="AA134" s="571">
        <v>0</v>
      </c>
      <c r="AB134" s="571">
        <v>0</v>
      </c>
      <c r="AC134" s="571">
        <v>0</v>
      </c>
      <c r="AD134" s="571">
        <v>0</v>
      </c>
      <c r="AE134" s="571">
        <v>0</v>
      </c>
      <c r="AF134" s="571">
        <v>0</v>
      </c>
      <c r="AG134" s="571">
        <v>0</v>
      </c>
      <c r="AH134" s="571">
        <v>0</v>
      </c>
      <c r="AK134" s="110"/>
      <c r="AM134" s="110"/>
      <c r="AN134" s="28"/>
      <c r="AO134" s="110"/>
      <c r="AP134" s="28"/>
      <c r="AQ134" s="110"/>
    </row>
    <row r="135" spans="1:43" s="292" customFormat="1" x14ac:dyDescent="0.2">
      <c r="A135" s="30" t="s">
        <v>238</v>
      </c>
      <c r="B135" s="571">
        <v>0</v>
      </c>
      <c r="C135" s="571">
        <v>0</v>
      </c>
      <c r="D135" s="571">
        <v>0</v>
      </c>
      <c r="E135" s="571">
        <v>0</v>
      </c>
      <c r="F135" s="571">
        <v>0</v>
      </c>
      <c r="G135" s="571">
        <v>0</v>
      </c>
      <c r="H135" s="571">
        <v>0</v>
      </c>
      <c r="I135" s="571">
        <v>0</v>
      </c>
      <c r="J135" s="571">
        <v>0</v>
      </c>
      <c r="K135" s="571">
        <v>0</v>
      </c>
      <c r="L135" s="571">
        <v>0</v>
      </c>
      <c r="M135" s="571">
        <v>0</v>
      </c>
      <c r="N135" s="571">
        <v>0</v>
      </c>
      <c r="O135" s="571">
        <v>0</v>
      </c>
      <c r="P135" s="571">
        <v>0</v>
      </c>
      <c r="Q135" s="571">
        <v>0</v>
      </c>
      <c r="R135" s="571">
        <v>0</v>
      </c>
      <c r="S135" s="571">
        <v>0</v>
      </c>
      <c r="T135" s="571">
        <v>0</v>
      </c>
      <c r="U135" s="571">
        <v>0</v>
      </c>
      <c r="V135" s="571">
        <v>0</v>
      </c>
      <c r="W135" s="571">
        <v>0</v>
      </c>
      <c r="X135" s="571">
        <v>0</v>
      </c>
      <c r="Y135" s="571">
        <v>0</v>
      </c>
      <c r="Z135" s="571">
        <v>0</v>
      </c>
      <c r="AA135" s="571">
        <v>0</v>
      </c>
      <c r="AB135" s="571">
        <v>0</v>
      </c>
      <c r="AC135" s="571">
        <v>0</v>
      </c>
      <c r="AD135" s="571">
        <v>0</v>
      </c>
      <c r="AE135" s="571">
        <v>0</v>
      </c>
      <c r="AF135" s="571">
        <v>0</v>
      </c>
      <c r="AG135" s="571">
        <v>0</v>
      </c>
      <c r="AH135" s="571">
        <v>0</v>
      </c>
      <c r="AK135" s="110"/>
      <c r="AM135" s="110"/>
      <c r="AN135" s="28"/>
      <c r="AO135" s="110"/>
      <c r="AP135" s="28"/>
      <c r="AQ135" s="110"/>
    </row>
    <row r="136" spans="1:43" s="292" customFormat="1" x14ac:dyDescent="0.2">
      <c r="A136" s="523" t="s">
        <v>477</v>
      </c>
      <c r="B136" s="572">
        <f t="shared" ref="B136:AH136" si="74">B134+B135</f>
        <v>22272.93</v>
      </c>
      <c r="C136" s="572">
        <f t="shared" si="74"/>
        <v>12701.627611124361</v>
      </c>
      <c r="D136" s="572">
        <f t="shared" si="74"/>
        <v>0</v>
      </c>
      <c r="E136" s="572">
        <f t="shared" si="74"/>
        <v>0</v>
      </c>
      <c r="F136" s="572">
        <f t="shared" si="74"/>
        <v>0</v>
      </c>
      <c r="G136" s="572">
        <f t="shared" si="74"/>
        <v>0</v>
      </c>
      <c r="H136" s="572">
        <f t="shared" si="74"/>
        <v>0</v>
      </c>
      <c r="I136" s="572">
        <f t="shared" si="74"/>
        <v>0</v>
      </c>
      <c r="J136" s="572">
        <f t="shared" si="74"/>
        <v>0</v>
      </c>
      <c r="K136" s="572">
        <f t="shared" si="74"/>
        <v>0</v>
      </c>
      <c r="L136" s="572">
        <f t="shared" si="74"/>
        <v>0</v>
      </c>
      <c r="M136" s="572">
        <f t="shared" si="74"/>
        <v>0</v>
      </c>
      <c r="N136" s="572">
        <f t="shared" si="74"/>
        <v>0</v>
      </c>
      <c r="O136" s="572">
        <f t="shared" si="74"/>
        <v>0</v>
      </c>
      <c r="P136" s="572">
        <f t="shared" si="74"/>
        <v>0</v>
      </c>
      <c r="Q136" s="572">
        <f t="shared" si="74"/>
        <v>0</v>
      </c>
      <c r="R136" s="572">
        <f t="shared" si="74"/>
        <v>0</v>
      </c>
      <c r="S136" s="572">
        <f t="shared" si="74"/>
        <v>0</v>
      </c>
      <c r="T136" s="572">
        <f t="shared" si="74"/>
        <v>0</v>
      </c>
      <c r="U136" s="572">
        <f t="shared" si="74"/>
        <v>0</v>
      </c>
      <c r="V136" s="572">
        <f t="shared" si="74"/>
        <v>0</v>
      </c>
      <c r="W136" s="572">
        <f t="shared" si="74"/>
        <v>0</v>
      </c>
      <c r="X136" s="572">
        <f t="shared" si="74"/>
        <v>0</v>
      </c>
      <c r="Y136" s="572">
        <f t="shared" si="74"/>
        <v>0</v>
      </c>
      <c r="Z136" s="572">
        <f t="shared" si="74"/>
        <v>0</v>
      </c>
      <c r="AA136" s="572">
        <f t="shared" si="74"/>
        <v>0</v>
      </c>
      <c r="AB136" s="572">
        <f t="shared" si="74"/>
        <v>0</v>
      </c>
      <c r="AC136" s="572">
        <f t="shared" si="74"/>
        <v>0</v>
      </c>
      <c r="AD136" s="572">
        <f t="shared" si="74"/>
        <v>0</v>
      </c>
      <c r="AE136" s="572">
        <f t="shared" si="74"/>
        <v>0</v>
      </c>
      <c r="AF136" s="572">
        <f t="shared" si="74"/>
        <v>0</v>
      </c>
      <c r="AG136" s="572">
        <f t="shared" si="74"/>
        <v>0</v>
      </c>
      <c r="AH136" s="572">
        <f t="shared" si="74"/>
        <v>0</v>
      </c>
      <c r="AK136" s="110"/>
      <c r="AM136" s="110"/>
      <c r="AN136" s="28"/>
      <c r="AO136" s="110"/>
      <c r="AP136" s="28"/>
      <c r="AQ136" s="110"/>
    </row>
    <row r="137" spans="1:43" s="292" customFormat="1" x14ac:dyDescent="0.2">
      <c r="A137" s="30" t="s">
        <v>239</v>
      </c>
      <c r="B137" s="571">
        <f>'Datu ievade'!B70+'Datu ievade'!B72+'Datu ievade'!C70+'Datu ievade'!C72</f>
        <v>1995.56</v>
      </c>
      <c r="C137" s="571">
        <f>'Datu ievade'!D70+'Datu ievade'!D72</f>
        <v>809.43999999999994</v>
      </c>
      <c r="D137" s="571">
        <f>'Datu ievade'!E70+'Datu ievade'!E72</f>
        <v>0</v>
      </c>
      <c r="E137" s="571">
        <v>0</v>
      </c>
      <c r="F137" s="571">
        <v>0</v>
      </c>
      <c r="G137" s="571">
        <v>0</v>
      </c>
      <c r="H137" s="571">
        <v>0</v>
      </c>
      <c r="I137" s="571">
        <v>0</v>
      </c>
      <c r="J137" s="571">
        <v>0</v>
      </c>
      <c r="K137" s="571">
        <v>0</v>
      </c>
      <c r="L137" s="571">
        <v>0</v>
      </c>
      <c r="M137" s="571">
        <v>0</v>
      </c>
      <c r="N137" s="571">
        <v>0</v>
      </c>
      <c r="O137" s="571">
        <v>0</v>
      </c>
      <c r="P137" s="571">
        <v>0</v>
      </c>
      <c r="Q137" s="571">
        <v>0</v>
      </c>
      <c r="R137" s="571">
        <v>0</v>
      </c>
      <c r="S137" s="571">
        <v>0</v>
      </c>
      <c r="T137" s="571">
        <v>0</v>
      </c>
      <c r="U137" s="571">
        <v>0</v>
      </c>
      <c r="V137" s="571">
        <v>0</v>
      </c>
      <c r="W137" s="571">
        <v>0</v>
      </c>
      <c r="X137" s="571">
        <v>0</v>
      </c>
      <c r="Y137" s="571">
        <v>0</v>
      </c>
      <c r="Z137" s="571">
        <v>0</v>
      </c>
      <c r="AA137" s="571">
        <v>0</v>
      </c>
      <c r="AB137" s="571">
        <v>0</v>
      </c>
      <c r="AC137" s="571">
        <v>0</v>
      </c>
      <c r="AD137" s="571">
        <v>0</v>
      </c>
      <c r="AE137" s="571">
        <v>0</v>
      </c>
      <c r="AF137" s="571">
        <v>0</v>
      </c>
      <c r="AG137" s="571">
        <v>0</v>
      </c>
      <c r="AH137" s="571">
        <v>0</v>
      </c>
      <c r="AK137" s="110"/>
      <c r="AM137" s="110"/>
      <c r="AN137" s="28"/>
      <c r="AO137" s="110"/>
      <c r="AP137" s="28"/>
      <c r="AQ137" s="110"/>
    </row>
    <row r="138" spans="1:43" s="292" customFormat="1" x14ac:dyDescent="0.2">
      <c r="A138" s="523" t="s">
        <v>478</v>
      </c>
      <c r="B138" s="572">
        <f t="shared" ref="B138:AH138" si="75">B137</f>
        <v>1995.56</v>
      </c>
      <c r="C138" s="572">
        <f t="shared" si="75"/>
        <v>809.43999999999994</v>
      </c>
      <c r="D138" s="572">
        <f t="shared" si="75"/>
        <v>0</v>
      </c>
      <c r="E138" s="572">
        <f t="shared" si="75"/>
        <v>0</v>
      </c>
      <c r="F138" s="572">
        <f t="shared" si="75"/>
        <v>0</v>
      </c>
      <c r="G138" s="572">
        <f t="shared" si="75"/>
        <v>0</v>
      </c>
      <c r="H138" s="572">
        <f t="shared" si="75"/>
        <v>0</v>
      </c>
      <c r="I138" s="572">
        <f t="shared" si="75"/>
        <v>0</v>
      </c>
      <c r="J138" s="572">
        <f t="shared" si="75"/>
        <v>0</v>
      </c>
      <c r="K138" s="572">
        <f t="shared" si="75"/>
        <v>0</v>
      </c>
      <c r="L138" s="572">
        <f t="shared" si="75"/>
        <v>0</v>
      </c>
      <c r="M138" s="572">
        <f t="shared" si="75"/>
        <v>0</v>
      </c>
      <c r="N138" s="572">
        <f t="shared" si="75"/>
        <v>0</v>
      </c>
      <c r="O138" s="572">
        <f t="shared" si="75"/>
        <v>0</v>
      </c>
      <c r="P138" s="572">
        <f t="shared" si="75"/>
        <v>0</v>
      </c>
      <c r="Q138" s="572">
        <f t="shared" si="75"/>
        <v>0</v>
      </c>
      <c r="R138" s="572">
        <f t="shared" si="75"/>
        <v>0</v>
      </c>
      <c r="S138" s="572">
        <f t="shared" si="75"/>
        <v>0</v>
      </c>
      <c r="T138" s="572">
        <f t="shared" si="75"/>
        <v>0</v>
      </c>
      <c r="U138" s="572">
        <f t="shared" si="75"/>
        <v>0</v>
      </c>
      <c r="V138" s="572">
        <f t="shared" si="75"/>
        <v>0</v>
      </c>
      <c r="W138" s="572">
        <f t="shared" si="75"/>
        <v>0</v>
      </c>
      <c r="X138" s="572">
        <f t="shared" si="75"/>
        <v>0</v>
      </c>
      <c r="Y138" s="572">
        <f t="shared" si="75"/>
        <v>0</v>
      </c>
      <c r="Z138" s="572">
        <f t="shared" si="75"/>
        <v>0</v>
      </c>
      <c r="AA138" s="572">
        <f t="shared" si="75"/>
        <v>0</v>
      </c>
      <c r="AB138" s="572">
        <f t="shared" si="75"/>
        <v>0</v>
      </c>
      <c r="AC138" s="572">
        <f t="shared" si="75"/>
        <v>0</v>
      </c>
      <c r="AD138" s="572">
        <f t="shared" si="75"/>
        <v>0</v>
      </c>
      <c r="AE138" s="572">
        <f t="shared" si="75"/>
        <v>0</v>
      </c>
      <c r="AF138" s="572">
        <f t="shared" si="75"/>
        <v>0</v>
      </c>
      <c r="AG138" s="572">
        <f t="shared" si="75"/>
        <v>0</v>
      </c>
      <c r="AH138" s="572">
        <f t="shared" si="75"/>
        <v>0</v>
      </c>
      <c r="AK138" s="110"/>
      <c r="AM138" s="110"/>
      <c r="AN138" s="28"/>
      <c r="AO138" s="110"/>
      <c r="AP138" s="28"/>
      <c r="AQ138" s="110"/>
    </row>
    <row r="139" spans="1:43" s="292" customFormat="1" x14ac:dyDescent="0.2">
      <c r="A139" s="523" t="s">
        <v>479</v>
      </c>
      <c r="B139" s="572">
        <f t="shared" ref="B139:AH139" si="76">B138+B136</f>
        <v>24268.49</v>
      </c>
      <c r="C139" s="572">
        <f t="shared" si="76"/>
        <v>13511.067611124361</v>
      </c>
      <c r="D139" s="572">
        <f t="shared" si="76"/>
        <v>0</v>
      </c>
      <c r="E139" s="572">
        <f t="shared" si="76"/>
        <v>0</v>
      </c>
      <c r="F139" s="572">
        <f t="shared" si="76"/>
        <v>0</v>
      </c>
      <c r="G139" s="572">
        <f t="shared" si="76"/>
        <v>0</v>
      </c>
      <c r="H139" s="572">
        <f t="shared" si="76"/>
        <v>0</v>
      </c>
      <c r="I139" s="572">
        <f t="shared" si="76"/>
        <v>0</v>
      </c>
      <c r="J139" s="572">
        <f t="shared" si="76"/>
        <v>0</v>
      </c>
      <c r="K139" s="572">
        <f t="shared" si="76"/>
        <v>0</v>
      </c>
      <c r="L139" s="572">
        <f t="shared" si="76"/>
        <v>0</v>
      </c>
      <c r="M139" s="572">
        <f t="shared" si="76"/>
        <v>0</v>
      </c>
      <c r="N139" s="572">
        <f t="shared" si="76"/>
        <v>0</v>
      </c>
      <c r="O139" s="572">
        <f t="shared" si="76"/>
        <v>0</v>
      </c>
      <c r="P139" s="572">
        <f t="shared" si="76"/>
        <v>0</v>
      </c>
      <c r="Q139" s="572">
        <f t="shared" si="76"/>
        <v>0</v>
      </c>
      <c r="R139" s="572">
        <f t="shared" si="76"/>
        <v>0</v>
      </c>
      <c r="S139" s="572">
        <f t="shared" si="76"/>
        <v>0</v>
      </c>
      <c r="T139" s="572">
        <f t="shared" si="76"/>
        <v>0</v>
      </c>
      <c r="U139" s="572">
        <f t="shared" si="76"/>
        <v>0</v>
      </c>
      <c r="V139" s="572">
        <f t="shared" si="76"/>
        <v>0</v>
      </c>
      <c r="W139" s="572">
        <f t="shared" si="76"/>
        <v>0</v>
      </c>
      <c r="X139" s="572">
        <f t="shared" si="76"/>
        <v>0</v>
      </c>
      <c r="Y139" s="572">
        <f t="shared" si="76"/>
        <v>0</v>
      </c>
      <c r="Z139" s="572">
        <f t="shared" si="76"/>
        <v>0</v>
      </c>
      <c r="AA139" s="572">
        <f t="shared" si="76"/>
        <v>0</v>
      </c>
      <c r="AB139" s="572">
        <f t="shared" si="76"/>
        <v>0</v>
      </c>
      <c r="AC139" s="572">
        <f t="shared" si="76"/>
        <v>0</v>
      </c>
      <c r="AD139" s="572">
        <f t="shared" si="76"/>
        <v>0</v>
      </c>
      <c r="AE139" s="572">
        <f t="shared" si="76"/>
        <v>0</v>
      </c>
      <c r="AF139" s="572">
        <f t="shared" si="76"/>
        <v>0</v>
      </c>
      <c r="AG139" s="572">
        <f t="shared" si="76"/>
        <v>0</v>
      </c>
      <c r="AH139" s="572">
        <f t="shared" si="76"/>
        <v>0</v>
      </c>
      <c r="AK139" s="110"/>
      <c r="AM139" s="110"/>
      <c r="AN139" s="28"/>
      <c r="AO139" s="110"/>
      <c r="AP139" s="28"/>
      <c r="AQ139" s="110"/>
    </row>
    <row r="140" spans="1:43" s="292" customFormat="1" x14ac:dyDescent="0.2">
      <c r="A140" s="54"/>
      <c r="B140" s="622"/>
      <c r="C140" s="622"/>
      <c r="D140" s="622"/>
      <c r="E140" s="622"/>
      <c r="F140" s="622"/>
      <c r="G140" s="622"/>
      <c r="H140" s="622"/>
      <c r="I140" s="622"/>
      <c r="J140" s="622"/>
      <c r="K140" s="622"/>
      <c r="L140" s="622"/>
      <c r="M140" s="622"/>
      <c r="N140" s="622"/>
      <c r="O140" s="622"/>
      <c r="P140" s="622"/>
      <c r="Q140" s="622"/>
      <c r="R140" s="622"/>
      <c r="S140" s="622"/>
      <c r="T140" s="622"/>
      <c r="U140" s="622"/>
      <c r="V140" s="622"/>
      <c r="W140" s="622"/>
      <c r="X140" s="622"/>
      <c r="Y140" s="622"/>
      <c r="Z140" s="622"/>
      <c r="AA140" s="622"/>
      <c r="AB140" s="622"/>
      <c r="AC140" s="622"/>
      <c r="AD140" s="622"/>
      <c r="AE140" s="622"/>
      <c r="AF140" s="622"/>
      <c r="AG140" s="622"/>
      <c r="AH140" s="622"/>
      <c r="AK140" s="110"/>
      <c r="AM140" s="110"/>
      <c r="AN140" s="28"/>
      <c r="AO140" s="110"/>
      <c r="AP140" s="28"/>
      <c r="AQ140" s="110"/>
    </row>
    <row r="141" spans="1:43" s="292" customFormat="1" x14ac:dyDescent="0.2">
      <c r="A141" s="627" t="s">
        <v>480</v>
      </c>
      <c r="B141" s="622"/>
      <c r="C141" s="622"/>
      <c r="D141" s="622"/>
      <c r="E141" s="622"/>
      <c r="F141" s="622"/>
      <c r="G141" s="622"/>
      <c r="H141" s="622"/>
      <c r="I141" s="622"/>
      <c r="J141" s="622"/>
      <c r="K141" s="622"/>
      <c r="L141" s="622"/>
      <c r="M141" s="622"/>
      <c r="N141" s="622"/>
      <c r="O141" s="622"/>
      <c r="P141" s="622"/>
      <c r="Q141" s="622"/>
      <c r="R141" s="622"/>
      <c r="S141" s="622"/>
      <c r="T141" s="622"/>
      <c r="U141" s="622"/>
      <c r="V141" s="622"/>
      <c r="W141" s="622"/>
      <c r="X141" s="622"/>
      <c r="Y141" s="622"/>
      <c r="Z141" s="622"/>
      <c r="AA141" s="622"/>
      <c r="AB141" s="622"/>
      <c r="AC141" s="622"/>
      <c r="AD141" s="622"/>
      <c r="AE141" s="622"/>
      <c r="AF141" s="622"/>
      <c r="AG141" s="622"/>
      <c r="AH141" s="622"/>
      <c r="AK141" s="110"/>
      <c r="AM141" s="110"/>
      <c r="AN141" s="28"/>
      <c r="AO141" s="110"/>
      <c r="AP141" s="28"/>
      <c r="AQ141" s="110"/>
    </row>
    <row r="142" spans="1:43" s="292" customFormat="1" x14ac:dyDescent="0.2">
      <c r="A142" s="30" t="s">
        <v>237</v>
      </c>
      <c r="B142" s="571">
        <f>'Datu ievade'!B60+'Datu ievade'!B61+'Datu ievade'!C60+'Datu ievade'!C61</f>
        <v>525487.84</v>
      </c>
      <c r="C142" s="571">
        <f>'Datu ievade'!D60+'Datu ievade'!D61</f>
        <v>299671.04238887562</v>
      </c>
      <c r="D142" s="571">
        <f>'Datu ievade'!E60+'Datu ievade'!E61</f>
        <v>511465</v>
      </c>
      <c r="E142" s="571">
        <v>0</v>
      </c>
      <c r="F142" s="571">
        <v>0</v>
      </c>
      <c r="G142" s="571">
        <v>0</v>
      </c>
      <c r="H142" s="571">
        <v>0</v>
      </c>
      <c r="I142" s="571">
        <v>0</v>
      </c>
      <c r="J142" s="571">
        <v>0</v>
      </c>
      <c r="K142" s="571">
        <v>0</v>
      </c>
      <c r="L142" s="571">
        <v>0</v>
      </c>
      <c r="M142" s="571">
        <v>0</v>
      </c>
      <c r="N142" s="571">
        <v>0</v>
      </c>
      <c r="O142" s="571">
        <v>0</v>
      </c>
      <c r="P142" s="571">
        <v>0</v>
      </c>
      <c r="Q142" s="571">
        <v>0</v>
      </c>
      <c r="R142" s="571">
        <v>0</v>
      </c>
      <c r="S142" s="571">
        <v>0</v>
      </c>
      <c r="T142" s="571">
        <v>0</v>
      </c>
      <c r="U142" s="571">
        <v>0</v>
      </c>
      <c r="V142" s="571">
        <v>0</v>
      </c>
      <c r="W142" s="571">
        <v>0</v>
      </c>
      <c r="X142" s="571">
        <v>0</v>
      </c>
      <c r="Y142" s="571">
        <v>0</v>
      </c>
      <c r="Z142" s="571">
        <v>0</v>
      </c>
      <c r="AA142" s="571">
        <v>0</v>
      </c>
      <c r="AB142" s="571">
        <v>0</v>
      </c>
      <c r="AC142" s="571">
        <v>0</v>
      </c>
      <c r="AD142" s="571">
        <v>0</v>
      </c>
      <c r="AE142" s="571">
        <v>0</v>
      </c>
      <c r="AF142" s="571">
        <v>0</v>
      </c>
      <c r="AG142" s="571">
        <v>0</v>
      </c>
      <c r="AH142" s="571">
        <v>0</v>
      </c>
      <c r="AK142" s="110"/>
      <c r="AM142" s="110"/>
      <c r="AN142" s="28"/>
      <c r="AO142" s="110"/>
      <c r="AP142" s="28"/>
      <c r="AQ142" s="110"/>
    </row>
    <row r="143" spans="1:43" s="292" customFormat="1" x14ac:dyDescent="0.2">
      <c r="A143" s="30" t="s">
        <v>238</v>
      </c>
      <c r="B143" s="571"/>
      <c r="C143" s="571"/>
      <c r="D143" s="571"/>
      <c r="E143" s="571">
        <v>0</v>
      </c>
      <c r="F143" s="571">
        <v>0</v>
      </c>
      <c r="G143" s="571">
        <v>0</v>
      </c>
      <c r="H143" s="571">
        <v>0</v>
      </c>
      <c r="I143" s="571">
        <v>0</v>
      </c>
      <c r="J143" s="571">
        <v>0</v>
      </c>
      <c r="K143" s="571">
        <v>0</v>
      </c>
      <c r="L143" s="571">
        <v>0</v>
      </c>
      <c r="M143" s="571">
        <v>0</v>
      </c>
      <c r="N143" s="571">
        <v>0</v>
      </c>
      <c r="O143" s="571">
        <v>0</v>
      </c>
      <c r="P143" s="571">
        <v>0</v>
      </c>
      <c r="Q143" s="571">
        <v>0</v>
      </c>
      <c r="R143" s="571">
        <v>0</v>
      </c>
      <c r="S143" s="571">
        <v>0</v>
      </c>
      <c r="T143" s="571">
        <v>0</v>
      </c>
      <c r="U143" s="571">
        <v>0</v>
      </c>
      <c r="V143" s="571">
        <v>0</v>
      </c>
      <c r="W143" s="571">
        <v>0</v>
      </c>
      <c r="X143" s="571">
        <v>0</v>
      </c>
      <c r="Y143" s="571">
        <v>0</v>
      </c>
      <c r="Z143" s="571">
        <v>0</v>
      </c>
      <c r="AA143" s="571">
        <v>0</v>
      </c>
      <c r="AB143" s="571">
        <v>0</v>
      </c>
      <c r="AC143" s="571">
        <v>0</v>
      </c>
      <c r="AD143" s="571">
        <v>0</v>
      </c>
      <c r="AE143" s="571">
        <v>0</v>
      </c>
      <c r="AF143" s="571">
        <v>0</v>
      </c>
      <c r="AG143" s="571">
        <v>0</v>
      </c>
      <c r="AH143" s="571">
        <v>0</v>
      </c>
      <c r="AK143" s="110"/>
      <c r="AM143" s="110"/>
      <c r="AN143" s="28"/>
      <c r="AO143" s="110"/>
      <c r="AP143" s="28"/>
      <c r="AQ143" s="110"/>
    </row>
    <row r="144" spans="1:43" s="292" customFormat="1" x14ac:dyDescent="0.2">
      <c r="A144" s="523" t="s">
        <v>477</v>
      </c>
      <c r="B144" s="572">
        <f t="shared" ref="B144:AH144" si="77">SUM(B142:B143)</f>
        <v>525487.84</v>
      </c>
      <c r="C144" s="572">
        <f t="shared" si="77"/>
        <v>299671.04238887562</v>
      </c>
      <c r="D144" s="572">
        <f t="shared" si="77"/>
        <v>511465</v>
      </c>
      <c r="E144" s="572">
        <f t="shared" si="77"/>
        <v>0</v>
      </c>
      <c r="F144" s="572">
        <f t="shared" si="77"/>
        <v>0</v>
      </c>
      <c r="G144" s="572">
        <f t="shared" si="77"/>
        <v>0</v>
      </c>
      <c r="H144" s="572">
        <f t="shared" si="77"/>
        <v>0</v>
      </c>
      <c r="I144" s="572">
        <f t="shared" si="77"/>
        <v>0</v>
      </c>
      <c r="J144" s="572">
        <f t="shared" si="77"/>
        <v>0</v>
      </c>
      <c r="K144" s="572">
        <f t="shared" si="77"/>
        <v>0</v>
      </c>
      <c r="L144" s="572">
        <f t="shared" si="77"/>
        <v>0</v>
      </c>
      <c r="M144" s="572">
        <f t="shared" si="77"/>
        <v>0</v>
      </c>
      <c r="N144" s="572">
        <f t="shared" si="77"/>
        <v>0</v>
      </c>
      <c r="O144" s="572">
        <f t="shared" si="77"/>
        <v>0</v>
      </c>
      <c r="P144" s="572">
        <f t="shared" si="77"/>
        <v>0</v>
      </c>
      <c r="Q144" s="572">
        <f t="shared" si="77"/>
        <v>0</v>
      </c>
      <c r="R144" s="572">
        <f t="shared" si="77"/>
        <v>0</v>
      </c>
      <c r="S144" s="572">
        <f t="shared" si="77"/>
        <v>0</v>
      </c>
      <c r="T144" s="572">
        <f t="shared" si="77"/>
        <v>0</v>
      </c>
      <c r="U144" s="572">
        <f t="shared" si="77"/>
        <v>0</v>
      </c>
      <c r="V144" s="572">
        <f t="shared" si="77"/>
        <v>0</v>
      </c>
      <c r="W144" s="572">
        <f t="shared" si="77"/>
        <v>0</v>
      </c>
      <c r="X144" s="572">
        <f t="shared" si="77"/>
        <v>0</v>
      </c>
      <c r="Y144" s="572">
        <f t="shared" si="77"/>
        <v>0</v>
      </c>
      <c r="Z144" s="572">
        <f t="shared" si="77"/>
        <v>0</v>
      </c>
      <c r="AA144" s="572">
        <f t="shared" si="77"/>
        <v>0</v>
      </c>
      <c r="AB144" s="572">
        <f t="shared" si="77"/>
        <v>0</v>
      </c>
      <c r="AC144" s="572">
        <f t="shared" si="77"/>
        <v>0</v>
      </c>
      <c r="AD144" s="572">
        <f t="shared" si="77"/>
        <v>0</v>
      </c>
      <c r="AE144" s="572">
        <f t="shared" si="77"/>
        <v>0</v>
      </c>
      <c r="AF144" s="572">
        <f t="shared" si="77"/>
        <v>0</v>
      </c>
      <c r="AG144" s="572">
        <f t="shared" si="77"/>
        <v>0</v>
      </c>
      <c r="AH144" s="572">
        <f t="shared" si="77"/>
        <v>0</v>
      </c>
      <c r="AK144" s="110"/>
      <c r="AM144" s="110"/>
      <c r="AN144" s="28"/>
      <c r="AO144" s="110"/>
      <c r="AP144" s="28"/>
      <c r="AQ144" s="110"/>
    </row>
    <row r="145" spans="1:43" s="292" customFormat="1" x14ac:dyDescent="0.2">
      <c r="A145" s="30" t="s">
        <v>239</v>
      </c>
      <c r="B145" s="571">
        <f>'Datu ievade'!B62+'Datu ievade'!B63+'Datu ievade'!B71+'Datu ievade'!C62+'Datu ievade'!C63+'Datu ievade'!C71</f>
        <v>42057.47</v>
      </c>
      <c r="C145" s="571">
        <f>'Datu ievade'!D62+'Datu ievade'!D63+'Datu ievade'!D71</f>
        <v>37138.36</v>
      </c>
      <c r="D145" s="571">
        <f>'Datu ievade'!E62+'Datu ievade'!E63+'Datu ievade'!E71</f>
        <v>12000</v>
      </c>
      <c r="E145" s="571">
        <v>0</v>
      </c>
      <c r="F145" s="571">
        <v>0</v>
      </c>
      <c r="G145" s="571">
        <v>0</v>
      </c>
      <c r="H145" s="571">
        <v>0</v>
      </c>
      <c r="I145" s="571">
        <v>0</v>
      </c>
      <c r="J145" s="571">
        <v>0</v>
      </c>
      <c r="K145" s="571">
        <v>0</v>
      </c>
      <c r="L145" s="571">
        <v>0</v>
      </c>
      <c r="M145" s="571">
        <v>0</v>
      </c>
      <c r="N145" s="571">
        <v>0</v>
      </c>
      <c r="O145" s="571">
        <v>0</v>
      </c>
      <c r="P145" s="571">
        <v>0</v>
      </c>
      <c r="Q145" s="571">
        <v>0</v>
      </c>
      <c r="R145" s="571">
        <v>0</v>
      </c>
      <c r="S145" s="571">
        <v>0</v>
      </c>
      <c r="T145" s="571">
        <v>0</v>
      </c>
      <c r="U145" s="571">
        <v>0</v>
      </c>
      <c r="V145" s="571">
        <v>0</v>
      </c>
      <c r="W145" s="571">
        <v>0</v>
      </c>
      <c r="X145" s="571">
        <v>0</v>
      </c>
      <c r="Y145" s="571">
        <v>0</v>
      </c>
      <c r="Z145" s="571">
        <v>0</v>
      </c>
      <c r="AA145" s="571">
        <v>0</v>
      </c>
      <c r="AB145" s="571">
        <v>0</v>
      </c>
      <c r="AC145" s="571">
        <v>0</v>
      </c>
      <c r="AD145" s="571">
        <v>0</v>
      </c>
      <c r="AE145" s="571">
        <v>0</v>
      </c>
      <c r="AF145" s="571">
        <v>0</v>
      </c>
      <c r="AG145" s="571">
        <v>0</v>
      </c>
      <c r="AH145" s="571">
        <v>0</v>
      </c>
      <c r="AK145" s="110"/>
      <c r="AM145" s="110"/>
      <c r="AN145" s="28"/>
      <c r="AO145" s="110"/>
      <c r="AP145" s="28"/>
      <c r="AQ145" s="110"/>
    </row>
    <row r="146" spans="1:43" s="292" customFormat="1" x14ac:dyDescent="0.2">
      <c r="A146" s="523" t="s">
        <v>478</v>
      </c>
      <c r="B146" s="572">
        <f t="shared" ref="B146:AH146" si="78">SUM(B145:B145)</f>
        <v>42057.47</v>
      </c>
      <c r="C146" s="572">
        <f t="shared" si="78"/>
        <v>37138.36</v>
      </c>
      <c r="D146" s="572">
        <f t="shared" si="78"/>
        <v>12000</v>
      </c>
      <c r="E146" s="572">
        <f t="shared" si="78"/>
        <v>0</v>
      </c>
      <c r="F146" s="572">
        <f t="shared" si="78"/>
        <v>0</v>
      </c>
      <c r="G146" s="572">
        <f t="shared" si="78"/>
        <v>0</v>
      </c>
      <c r="H146" s="572">
        <f t="shared" si="78"/>
        <v>0</v>
      </c>
      <c r="I146" s="572">
        <f t="shared" si="78"/>
        <v>0</v>
      </c>
      <c r="J146" s="572">
        <f t="shared" si="78"/>
        <v>0</v>
      </c>
      <c r="K146" s="572">
        <f t="shared" si="78"/>
        <v>0</v>
      </c>
      <c r="L146" s="572">
        <f t="shared" si="78"/>
        <v>0</v>
      </c>
      <c r="M146" s="572">
        <f t="shared" si="78"/>
        <v>0</v>
      </c>
      <c r="N146" s="572">
        <f t="shared" si="78"/>
        <v>0</v>
      </c>
      <c r="O146" s="572">
        <f t="shared" si="78"/>
        <v>0</v>
      </c>
      <c r="P146" s="572">
        <f t="shared" si="78"/>
        <v>0</v>
      </c>
      <c r="Q146" s="572">
        <f t="shared" si="78"/>
        <v>0</v>
      </c>
      <c r="R146" s="572">
        <f t="shared" si="78"/>
        <v>0</v>
      </c>
      <c r="S146" s="572">
        <f t="shared" si="78"/>
        <v>0</v>
      </c>
      <c r="T146" s="572">
        <f t="shared" si="78"/>
        <v>0</v>
      </c>
      <c r="U146" s="572">
        <f t="shared" si="78"/>
        <v>0</v>
      </c>
      <c r="V146" s="572">
        <f t="shared" si="78"/>
        <v>0</v>
      </c>
      <c r="W146" s="572">
        <f t="shared" si="78"/>
        <v>0</v>
      </c>
      <c r="X146" s="572">
        <f t="shared" si="78"/>
        <v>0</v>
      </c>
      <c r="Y146" s="572">
        <f t="shared" si="78"/>
        <v>0</v>
      </c>
      <c r="Z146" s="572">
        <f t="shared" si="78"/>
        <v>0</v>
      </c>
      <c r="AA146" s="572">
        <f t="shared" si="78"/>
        <v>0</v>
      </c>
      <c r="AB146" s="572">
        <f t="shared" si="78"/>
        <v>0</v>
      </c>
      <c r="AC146" s="572">
        <f t="shared" si="78"/>
        <v>0</v>
      </c>
      <c r="AD146" s="572">
        <f t="shared" si="78"/>
        <v>0</v>
      </c>
      <c r="AE146" s="572">
        <f t="shared" si="78"/>
        <v>0</v>
      </c>
      <c r="AF146" s="572">
        <f t="shared" si="78"/>
        <v>0</v>
      </c>
      <c r="AG146" s="572">
        <f t="shared" si="78"/>
        <v>0</v>
      </c>
      <c r="AH146" s="572">
        <f t="shared" si="78"/>
        <v>0</v>
      </c>
      <c r="AK146" s="110"/>
      <c r="AM146" s="110"/>
      <c r="AN146" s="28"/>
      <c r="AO146" s="110"/>
      <c r="AP146" s="28"/>
      <c r="AQ146" s="110"/>
    </row>
    <row r="147" spans="1:43" s="292" customFormat="1" x14ac:dyDescent="0.2">
      <c r="A147" s="523" t="s">
        <v>479</v>
      </c>
      <c r="B147" s="572">
        <f t="shared" ref="B147:AH147" si="79">B144+B146</f>
        <v>567545.30999999994</v>
      </c>
      <c r="C147" s="572">
        <f t="shared" si="79"/>
        <v>336809.40238887561</v>
      </c>
      <c r="D147" s="572">
        <f t="shared" si="79"/>
        <v>523465</v>
      </c>
      <c r="E147" s="572">
        <f t="shared" si="79"/>
        <v>0</v>
      </c>
      <c r="F147" s="572">
        <f t="shared" si="79"/>
        <v>0</v>
      </c>
      <c r="G147" s="572">
        <f t="shared" si="79"/>
        <v>0</v>
      </c>
      <c r="H147" s="572">
        <f t="shared" si="79"/>
        <v>0</v>
      </c>
      <c r="I147" s="572">
        <f t="shared" si="79"/>
        <v>0</v>
      </c>
      <c r="J147" s="572">
        <f t="shared" si="79"/>
        <v>0</v>
      </c>
      <c r="K147" s="572">
        <f t="shared" si="79"/>
        <v>0</v>
      </c>
      <c r="L147" s="572">
        <f t="shared" si="79"/>
        <v>0</v>
      </c>
      <c r="M147" s="572">
        <f t="shared" si="79"/>
        <v>0</v>
      </c>
      <c r="N147" s="572">
        <f t="shared" si="79"/>
        <v>0</v>
      </c>
      <c r="O147" s="572">
        <f t="shared" si="79"/>
        <v>0</v>
      </c>
      <c r="P147" s="572">
        <f t="shared" si="79"/>
        <v>0</v>
      </c>
      <c r="Q147" s="572">
        <f t="shared" si="79"/>
        <v>0</v>
      </c>
      <c r="R147" s="572">
        <f t="shared" si="79"/>
        <v>0</v>
      </c>
      <c r="S147" s="572">
        <f t="shared" si="79"/>
        <v>0</v>
      </c>
      <c r="T147" s="572">
        <f t="shared" si="79"/>
        <v>0</v>
      </c>
      <c r="U147" s="572">
        <f t="shared" si="79"/>
        <v>0</v>
      </c>
      <c r="V147" s="572">
        <f t="shared" si="79"/>
        <v>0</v>
      </c>
      <c r="W147" s="572">
        <f t="shared" si="79"/>
        <v>0</v>
      </c>
      <c r="X147" s="572">
        <f t="shared" si="79"/>
        <v>0</v>
      </c>
      <c r="Y147" s="572">
        <f t="shared" si="79"/>
        <v>0</v>
      </c>
      <c r="Z147" s="572">
        <f t="shared" si="79"/>
        <v>0</v>
      </c>
      <c r="AA147" s="572">
        <f t="shared" si="79"/>
        <v>0</v>
      </c>
      <c r="AB147" s="572">
        <f t="shared" si="79"/>
        <v>0</v>
      </c>
      <c r="AC147" s="572">
        <f t="shared" si="79"/>
        <v>0</v>
      </c>
      <c r="AD147" s="572">
        <f t="shared" si="79"/>
        <v>0</v>
      </c>
      <c r="AE147" s="572">
        <f t="shared" si="79"/>
        <v>0</v>
      </c>
      <c r="AF147" s="572">
        <f t="shared" si="79"/>
        <v>0</v>
      </c>
      <c r="AG147" s="572">
        <f t="shared" si="79"/>
        <v>0</v>
      </c>
      <c r="AH147" s="572">
        <f t="shared" si="79"/>
        <v>0</v>
      </c>
      <c r="AK147" s="110"/>
      <c r="AM147" s="110"/>
      <c r="AN147" s="28"/>
      <c r="AO147" s="110"/>
      <c r="AP147" s="28"/>
      <c r="AQ147" s="110"/>
    </row>
    <row r="148" spans="1:43" s="292" customFormat="1" x14ac:dyDescent="0.2">
      <c r="A148" s="54"/>
      <c r="B148" s="622"/>
      <c r="C148" s="622"/>
      <c r="D148" s="622"/>
      <c r="E148" s="622"/>
      <c r="F148" s="622"/>
      <c r="G148" s="622"/>
      <c r="H148" s="622"/>
      <c r="I148" s="622"/>
      <c r="J148" s="622"/>
      <c r="K148" s="622"/>
      <c r="L148" s="622"/>
      <c r="M148" s="622"/>
      <c r="N148" s="622"/>
      <c r="O148" s="622"/>
      <c r="P148" s="622"/>
      <c r="Q148" s="622"/>
      <c r="R148" s="622"/>
      <c r="S148" s="622"/>
      <c r="T148" s="622"/>
      <c r="U148" s="622"/>
      <c r="V148" s="622"/>
      <c r="W148" s="622"/>
      <c r="X148" s="622"/>
      <c r="Y148" s="622"/>
      <c r="Z148" s="622"/>
      <c r="AA148" s="622"/>
      <c r="AB148" s="622"/>
      <c r="AC148" s="622"/>
      <c r="AD148" s="622"/>
      <c r="AE148" s="622"/>
      <c r="AF148" s="622"/>
      <c r="AG148" s="622"/>
      <c r="AH148" s="622"/>
      <c r="AK148" s="110"/>
      <c r="AM148" s="110"/>
      <c r="AN148" s="28"/>
      <c r="AO148" s="110"/>
      <c r="AP148" s="28"/>
      <c r="AQ148" s="110"/>
    </row>
    <row r="149" spans="1:43" x14ac:dyDescent="0.2">
      <c r="A149" s="627" t="s">
        <v>450</v>
      </c>
      <c r="B149" s="622"/>
      <c r="C149" s="622"/>
      <c r="D149" s="622"/>
      <c r="E149" s="622"/>
      <c r="F149" s="622"/>
      <c r="G149" s="622"/>
      <c r="H149" s="622"/>
      <c r="I149" s="622"/>
      <c r="J149" s="622"/>
      <c r="K149" s="622"/>
      <c r="L149" s="622"/>
      <c r="M149" s="622"/>
      <c r="N149" s="622"/>
      <c r="O149" s="622"/>
      <c r="P149" s="622"/>
      <c r="Q149" s="622"/>
      <c r="R149" s="622"/>
      <c r="S149" s="622"/>
      <c r="T149" s="622"/>
      <c r="U149" s="622"/>
      <c r="V149" s="622"/>
      <c r="W149" s="622"/>
      <c r="X149" s="622"/>
      <c r="Y149" s="622"/>
      <c r="Z149" s="622"/>
      <c r="AA149" s="622"/>
      <c r="AB149" s="622"/>
      <c r="AC149" s="622"/>
      <c r="AD149" s="622"/>
      <c r="AE149" s="622"/>
      <c r="AF149" s="622"/>
      <c r="AG149" s="622"/>
      <c r="AH149" s="622"/>
      <c r="AK149" s="110"/>
      <c r="AM149" s="110"/>
      <c r="AO149" s="110"/>
      <c r="AQ149" s="110"/>
    </row>
    <row r="150" spans="1:43" x14ac:dyDescent="0.2">
      <c r="A150" s="30" t="s">
        <v>237</v>
      </c>
      <c r="B150" s="571">
        <f t="shared" ref="B150:G150" si="80">B134+B142</f>
        <v>547760.77</v>
      </c>
      <c r="C150" s="571">
        <f t="shared" si="80"/>
        <v>312372.67</v>
      </c>
      <c r="D150" s="571">
        <f t="shared" si="80"/>
        <v>511465</v>
      </c>
      <c r="E150" s="571">
        <f t="shared" si="80"/>
        <v>0</v>
      </c>
      <c r="F150" s="571">
        <f t="shared" si="80"/>
        <v>0</v>
      </c>
      <c r="G150" s="571">
        <f t="shared" si="80"/>
        <v>0</v>
      </c>
      <c r="H150" s="571">
        <v>0</v>
      </c>
      <c r="I150" s="571">
        <v>0</v>
      </c>
      <c r="J150" s="571">
        <v>0</v>
      </c>
      <c r="K150" s="571">
        <v>0</v>
      </c>
      <c r="L150" s="571">
        <v>0</v>
      </c>
      <c r="M150" s="571">
        <v>0</v>
      </c>
      <c r="N150" s="571">
        <v>0</v>
      </c>
      <c r="O150" s="571">
        <v>0</v>
      </c>
      <c r="P150" s="571">
        <v>0</v>
      </c>
      <c r="Q150" s="571">
        <v>0</v>
      </c>
      <c r="R150" s="571">
        <v>0</v>
      </c>
      <c r="S150" s="571">
        <v>0</v>
      </c>
      <c r="T150" s="571">
        <v>0</v>
      </c>
      <c r="U150" s="571">
        <v>0</v>
      </c>
      <c r="V150" s="571">
        <v>0</v>
      </c>
      <c r="W150" s="571">
        <v>0</v>
      </c>
      <c r="X150" s="571">
        <v>0</v>
      </c>
      <c r="Y150" s="571">
        <v>0</v>
      </c>
      <c r="Z150" s="571">
        <v>0</v>
      </c>
      <c r="AA150" s="571">
        <v>0</v>
      </c>
      <c r="AB150" s="571">
        <v>0</v>
      </c>
      <c r="AC150" s="571">
        <v>0</v>
      </c>
      <c r="AD150" s="571">
        <v>0</v>
      </c>
      <c r="AE150" s="571">
        <v>0</v>
      </c>
      <c r="AF150" s="571">
        <v>0</v>
      </c>
      <c r="AG150" s="571">
        <v>0</v>
      </c>
      <c r="AH150" s="571">
        <v>0</v>
      </c>
      <c r="AK150" s="110"/>
      <c r="AM150" s="110"/>
      <c r="AO150" s="110"/>
      <c r="AQ150" s="110"/>
    </row>
    <row r="151" spans="1:43" x14ac:dyDescent="0.2">
      <c r="A151" s="30" t="s">
        <v>238</v>
      </c>
      <c r="B151" s="571">
        <v>0</v>
      </c>
      <c r="C151" s="571">
        <v>0</v>
      </c>
      <c r="D151" s="571">
        <v>0</v>
      </c>
      <c r="E151" s="571">
        <f>E135+E143</f>
        <v>0</v>
      </c>
      <c r="F151" s="571">
        <f>F135+F143</f>
        <v>0</v>
      </c>
      <c r="G151" s="571">
        <f>G135+G143</f>
        <v>0</v>
      </c>
      <c r="H151" s="571">
        <v>0</v>
      </c>
      <c r="I151" s="571">
        <v>0</v>
      </c>
      <c r="J151" s="571">
        <v>0</v>
      </c>
      <c r="K151" s="571">
        <v>0</v>
      </c>
      <c r="L151" s="571">
        <v>0</v>
      </c>
      <c r="M151" s="571">
        <v>0</v>
      </c>
      <c r="N151" s="571">
        <v>0</v>
      </c>
      <c r="O151" s="571">
        <v>0</v>
      </c>
      <c r="P151" s="571">
        <v>0</v>
      </c>
      <c r="Q151" s="571">
        <v>0</v>
      </c>
      <c r="R151" s="571">
        <v>0</v>
      </c>
      <c r="S151" s="571">
        <v>0</v>
      </c>
      <c r="T151" s="571">
        <v>0</v>
      </c>
      <c r="U151" s="571">
        <v>0</v>
      </c>
      <c r="V151" s="571">
        <v>0</v>
      </c>
      <c r="W151" s="571">
        <v>0</v>
      </c>
      <c r="X151" s="571">
        <v>0</v>
      </c>
      <c r="Y151" s="571">
        <v>0</v>
      </c>
      <c r="Z151" s="571">
        <v>0</v>
      </c>
      <c r="AA151" s="571">
        <v>0</v>
      </c>
      <c r="AB151" s="571">
        <v>0</v>
      </c>
      <c r="AC151" s="571">
        <v>0</v>
      </c>
      <c r="AD151" s="571">
        <v>0</v>
      </c>
      <c r="AE151" s="571">
        <v>0</v>
      </c>
      <c r="AF151" s="571">
        <v>0</v>
      </c>
      <c r="AG151" s="571">
        <v>0</v>
      </c>
      <c r="AH151" s="571">
        <v>0</v>
      </c>
      <c r="AK151" s="110"/>
      <c r="AM151" s="110"/>
      <c r="AO151" s="110"/>
      <c r="AQ151" s="110"/>
    </row>
    <row r="152" spans="1:43" x14ac:dyDescent="0.2">
      <c r="A152" s="523" t="s">
        <v>477</v>
      </c>
      <c r="B152" s="572">
        <f t="shared" ref="B152:AH152" si="81">SUM(B150:B151)</f>
        <v>547760.77</v>
      </c>
      <c r="C152" s="572">
        <f t="shared" si="81"/>
        <v>312372.67</v>
      </c>
      <c r="D152" s="572">
        <f t="shared" si="81"/>
        <v>511465</v>
      </c>
      <c r="E152" s="572">
        <f t="shared" si="81"/>
        <v>0</v>
      </c>
      <c r="F152" s="572">
        <f t="shared" si="81"/>
        <v>0</v>
      </c>
      <c r="G152" s="572">
        <f t="shared" si="81"/>
        <v>0</v>
      </c>
      <c r="H152" s="572">
        <f t="shared" si="81"/>
        <v>0</v>
      </c>
      <c r="I152" s="572">
        <f t="shared" si="81"/>
        <v>0</v>
      </c>
      <c r="J152" s="572">
        <f t="shared" si="81"/>
        <v>0</v>
      </c>
      <c r="K152" s="572">
        <f t="shared" si="81"/>
        <v>0</v>
      </c>
      <c r="L152" s="572">
        <f t="shared" si="81"/>
        <v>0</v>
      </c>
      <c r="M152" s="572">
        <f t="shared" si="81"/>
        <v>0</v>
      </c>
      <c r="N152" s="572">
        <f t="shared" si="81"/>
        <v>0</v>
      </c>
      <c r="O152" s="572">
        <f t="shared" si="81"/>
        <v>0</v>
      </c>
      <c r="P152" s="572">
        <f t="shared" si="81"/>
        <v>0</v>
      </c>
      <c r="Q152" s="572">
        <f t="shared" si="81"/>
        <v>0</v>
      </c>
      <c r="R152" s="572">
        <f t="shared" si="81"/>
        <v>0</v>
      </c>
      <c r="S152" s="572">
        <f t="shared" si="81"/>
        <v>0</v>
      </c>
      <c r="T152" s="572">
        <f t="shared" si="81"/>
        <v>0</v>
      </c>
      <c r="U152" s="572">
        <f t="shared" si="81"/>
        <v>0</v>
      </c>
      <c r="V152" s="572">
        <f t="shared" si="81"/>
        <v>0</v>
      </c>
      <c r="W152" s="572">
        <f t="shared" si="81"/>
        <v>0</v>
      </c>
      <c r="X152" s="572">
        <f t="shared" si="81"/>
        <v>0</v>
      </c>
      <c r="Y152" s="572">
        <f t="shared" si="81"/>
        <v>0</v>
      </c>
      <c r="Z152" s="572">
        <f t="shared" si="81"/>
        <v>0</v>
      </c>
      <c r="AA152" s="572">
        <f t="shared" si="81"/>
        <v>0</v>
      </c>
      <c r="AB152" s="572">
        <f t="shared" si="81"/>
        <v>0</v>
      </c>
      <c r="AC152" s="572">
        <f t="shared" si="81"/>
        <v>0</v>
      </c>
      <c r="AD152" s="572">
        <f t="shared" si="81"/>
        <v>0</v>
      </c>
      <c r="AE152" s="572">
        <f t="shared" si="81"/>
        <v>0</v>
      </c>
      <c r="AF152" s="572">
        <f t="shared" si="81"/>
        <v>0</v>
      </c>
      <c r="AG152" s="572">
        <f t="shared" si="81"/>
        <v>0</v>
      </c>
      <c r="AH152" s="572">
        <f t="shared" si="81"/>
        <v>0</v>
      </c>
      <c r="AK152" s="110"/>
      <c r="AM152" s="110"/>
      <c r="AO152" s="110"/>
      <c r="AQ152" s="110"/>
    </row>
    <row r="153" spans="1:43" x14ac:dyDescent="0.2">
      <c r="A153" s="30" t="s">
        <v>239</v>
      </c>
      <c r="B153" s="304">
        <f t="shared" ref="B153:G153" si="82">B137+B145</f>
        <v>44053.03</v>
      </c>
      <c r="C153" s="304">
        <f t="shared" si="82"/>
        <v>37947.800000000003</v>
      </c>
      <c r="D153" s="304">
        <f t="shared" si="82"/>
        <v>12000</v>
      </c>
      <c r="E153" s="571">
        <f t="shared" si="82"/>
        <v>0</v>
      </c>
      <c r="F153" s="571">
        <f t="shared" si="82"/>
        <v>0</v>
      </c>
      <c r="G153" s="571">
        <f t="shared" si="82"/>
        <v>0</v>
      </c>
      <c r="H153" s="571">
        <v>0</v>
      </c>
      <c r="I153" s="571">
        <v>0</v>
      </c>
      <c r="J153" s="571">
        <v>0</v>
      </c>
      <c r="K153" s="571">
        <v>0</v>
      </c>
      <c r="L153" s="571">
        <v>0</v>
      </c>
      <c r="M153" s="571">
        <v>0</v>
      </c>
      <c r="N153" s="571">
        <v>0</v>
      </c>
      <c r="O153" s="571">
        <v>0</v>
      </c>
      <c r="P153" s="571">
        <v>0</v>
      </c>
      <c r="Q153" s="571">
        <v>0</v>
      </c>
      <c r="R153" s="571">
        <v>0</v>
      </c>
      <c r="S153" s="571">
        <v>0</v>
      </c>
      <c r="T153" s="571">
        <v>0</v>
      </c>
      <c r="U153" s="571">
        <v>0</v>
      </c>
      <c r="V153" s="571">
        <v>0</v>
      </c>
      <c r="W153" s="571">
        <v>0</v>
      </c>
      <c r="X153" s="571">
        <v>0</v>
      </c>
      <c r="Y153" s="571">
        <v>0</v>
      </c>
      <c r="Z153" s="571">
        <v>0</v>
      </c>
      <c r="AA153" s="571">
        <v>0</v>
      </c>
      <c r="AB153" s="571">
        <v>0</v>
      </c>
      <c r="AC153" s="571">
        <v>0</v>
      </c>
      <c r="AD153" s="571">
        <v>0</v>
      </c>
      <c r="AE153" s="571">
        <v>0</v>
      </c>
      <c r="AF153" s="571">
        <v>0</v>
      </c>
      <c r="AG153" s="571">
        <v>0</v>
      </c>
      <c r="AH153" s="571">
        <v>0</v>
      </c>
      <c r="AK153" s="110"/>
      <c r="AM153" s="110"/>
      <c r="AO153" s="110"/>
      <c r="AQ153" s="110"/>
    </row>
    <row r="154" spans="1:43" x14ac:dyDescent="0.2">
      <c r="A154" s="523" t="s">
        <v>478</v>
      </c>
      <c r="B154" s="572">
        <f>SUM(B153)</f>
        <v>44053.03</v>
      </c>
      <c r="C154" s="572">
        <f t="shared" ref="C154:AH154" si="83">SUM(C153)</f>
        <v>37947.800000000003</v>
      </c>
      <c r="D154" s="572">
        <f t="shared" si="83"/>
        <v>12000</v>
      </c>
      <c r="E154" s="572">
        <f t="shared" si="83"/>
        <v>0</v>
      </c>
      <c r="F154" s="572">
        <f t="shared" si="83"/>
        <v>0</v>
      </c>
      <c r="G154" s="572">
        <f t="shared" si="83"/>
        <v>0</v>
      </c>
      <c r="H154" s="572">
        <f t="shared" si="83"/>
        <v>0</v>
      </c>
      <c r="I154" s="572">
        <f t="shared" si="83"/>
        <v>0</v>
      </c>
      <c r="J154" s="572">
        <f t="shared" si="83"/>
        <v>0</v>
      </c>
      <c r="K154" s="572">
        <f t="shared" si="83"/>
        <v>0</v>
      </c>
      <c r="L154" s="572">
        <f t="shared" si="83"/>
        <v>0</v>
      </c>
      <c r="M154" s="572">
        <f t="shared" si="83"/>
        <v>0</v>
      </c>
      <c r="N154" s="572">
        <f t="shared" si="83"/>
        <v>0</v>
      </c>
      <c r="O154" s="572">
        <f t="shared" si="83"/>
        <v>0</v>
      </c>
      <c r="P154" s="572">
        <f t="shared" si="83"/>
        <v>0</v>
      </c>
      <c r="Q154" s="572">
        <f t="shared" si="83"/>
        <v>0</v>
      </c>
      <c r="R154" s="572">
        <f t="shared" si="83"/>
        <v>0</v>
      </c>
      <c r="S154" s="572">
        <f t="shared" si="83"/>
        <v>0</v>
      </c>
      <c r="T154" s="572">
        <f t="shared" si="83"/>
        <v>0</v>
      </c>
      <c r="U154" s="572">
        <f t="shared" si="83"/>
        <v>0</v>
      </c>
      <c r="V154" s="572">
        <f t="shared" si="83"/>
        <v>0</v>
      </c>
      <c r="W154" s="572">
        <f t="shared" si="83"/>
        <v>0</v>
      </c>
      <c r="X154" s="572">
        <f t="shared" si="83"/>
        <v>0</v>
      </c>
      <c r="Y154" s="572">
        <f t="shared" si="83"/>
        <v>0</v>
      </c>
      <c r="Z154" s="572">
        <f t="shared" si="83"/>
        <v>0</v>
      </c>
      <c r="AA154" s="572">
        <f t="shared" si="83"/>
        <v>0</v>
      </c>
      <c r="AB154" s="572">
        <f t="shared" si="83"/>
        <v>0</v>
      </c>
      <c r="AC154" s="572">
        <f t="shared" si="83"/>
        <v>0</v>
      </c>
      <c r="AD154" s="572">
        <f t="shared" si="83"/>
        <v>0</v>
      </c>
      <c r="AE154" s="572">
        <f t="shared" si="83"/>
        <v>0</v>
      </c>
      <c r="AF154" s="572">
        <f t="shared" si="83"/>
        <v>0</v>
      </c>
      <c r="AG154" s="572">
        <f t="shared" si="83"/>
        <v>0</v>
      </c>
      <c r="AH154" s="572">
        <f t="shared" si="83"/>
        <v>0</v>
      </c>
      <c r="AK154" s="110"/>
      <c r="AM154" s="110"/>
      <c r="AO154" s="110"/>
      <c r="AQ154" s="110"/>
    </row>
    <row r="155" spans="1:43" x14ac:dyDescent="0.2">
      <c r="A155" s="523" t="s">
        <v>479</v>
      </c>
      <c r="B155" s="572">
        <f t="shared" ref="B155:AH155" si="84">B152+B154</f>
        <v>591813.80000000005</v>
      </c>
      <c r="C155" s="572">
        <f t="shared" si="84"/>
        <v>350320.47</v>
      </c>
      <c r="D155" s="572">
        <f t="shared" si="84"/>
        <v>523465</v>
      </c>
      <c r="E155" s="572">
        <f t="shared" si="84"/>
        <v>0</v>
      </c>
      <c r="F155" s="572">
        <f t="shared" si="84"/>
        <v>0</v>
      </c>
      <c r="G155" s="572">
        <f t="shared" si="84"/>
        <v>0</v>
      </c>
      <c r="H155" s="572">
        <f t="shared" si="84"/>
        <v>0</v>
      </c>
      <c r="I155" s="572">
        <f t="shared" si="84"/>
        <v>0</v>
      </c>
      <c r="J155" s="572">
        <f t="shared" si="84"/>
        <v>0</v>
      </c>
      <c r="K155" s="572">
        <f t="shared" si="84"/>
        <v>0</v>
      </c>
      <c r="L155" s="572">
        <f t="shared" si="84"/>
        <v>0</v>
      </c>
      <c r="M155" s="572">
        <f t="shared" si="84"/>
        <v>0</v>
      </c>
      <c r="N155" s="572">
        <f t="shared" si="84"/>
        <v>0</v>
      </c>
      <c r="O155" s="572">
        <f t="shared" si="84"/>
        <v>0</v>
      </c>
      <c r="P155" s="572">
        <f t="shared" si="84"/>
        <v>0</v>
      </c>
      <c r="Q155" s="572">
        <f t="shared" si="84"/>
        <v>0</v>
      </c>
      <c r="R155" s="572">
        <f t="shared" si="84"/>
        <v>0</v>
      </c>
      <c r="S155" s="572">
        <f t="shared" si="84"/>
        <v>0</v>
      </c>
      <c r="T155" s="572">
        <f t="shared" si="84"/>
        <v>0</v>
      </c>
      <c r="U155" s="572">
        <f t="shared" si="84"/>
        <v>0</v>
      </c>
      <c r="V155" s="572">
        <f t="shared" si="84"/>
        <v>0</v>
      </c>
      <c r="W155" s="572">
        <f t="shared" si="84"/>
        <v>0</v>
      </c>
      <c r="X155" s="572">
        <f t="shared" si="84"/>
        <v>0</v>
      </c>
      <c r="Y155" s="572">
        <f t="shared" si="84"/>
        <v>0</v>
      </c>
      <c r="Z155" s="572">
        <f t="shared" si="84"/>
        <v>0</v>
      </c>
      <c r="AA155" s="572">
        <f t="shared" si="84"/>
        <v>0</v>
      </c>
      <c r="AB155" s="572">
        <f t="shared" si="84"/>
        <v>0</v>
      </c>
      <c r="AC155" s="572">
        <f t="shared" si="84"/>
        <v>0</v>
      </c>
      <c r="AD155" s="572">
        <f t="shared" si="84"/>
        <v>0</v>
      </c>
      <c r="AE155" s="572">
        <f t="shared" si="84"/>
        <v>0</v>
      </c>
      <c r="AF155" s="572">
        <f t="shared" si="84"/>
        <v>0</v>
      </c>
      <c r="AG155" s="572">
        <f t="shared" si="84"/>
        <v>0</v>
      </c>
      <c r="AH155" s="572">
        <f t="shared" si="84"/>
        <v>0</v>
      </c>
      <c r="AK155" s="110"/>
      <c r="AM155" s="110"/>
      <c r="AO155" s="110"/>
      <c r="AQ155" s="110"/>
    </row>
    <row r="156" spans="1:43" x14ac:dyDescent="0.2">
      <c r="A156" s="118"/>
      <c r="B156" s="277"/>
      <c r="C156" s="277"/>
      <c r="D156" s="277"/>
      <c r="E156" s="277"/>
      <c r="F156" s="277"/>
      <c r="G156" s="277"/>
      <c r="H156" s="277"/>
      <c r="I156" s="277"/>
      <c r="J156" s="277"/>
      <c r="K156" s="277"/>
      <c r="L156" s="277"/>
      <c r="M156" s="277"/>
      <c r="N156" s="277"/>
      <c r="O156" s="277"/>
      <c r="P156" s="277"/>
      <c r="Q156" s="277"/>
      <c r="R156" s="277"/>
      <c r="S156" s="277"/>
      <c r="T156" s="277"/>
      <c r="U156" s="277"/>
      <c r="V156" s="277"/>
      <c r="W156" s="277"/>
      <c r="X156" s="277"/>
      <c r="Y156" s="277"/>
      <c r="Z156" s="277"/>
      <c r="AA156" s="277"/>
      <c r="AB156" s="277"/>
      <c r="AC156" s="277"/>
      <c r="AD156" s="277"/>
      <c r="AE156" s="277"/>
      <c r="AF156" s="277"/>
      <c r="AG156" s="277"/>
      <c r="AH156" s="277"/>
      <c r="AK156" s="110"/>
      <c r="AM156" s="110"/>
      <c r="AO156" s="110"/>
      <c r="AQ156" s="110"/>
    </row>
    <row r="157" spans="1:43" ht="15" x14ac:dyDescent="0.2">
      <c r="A157" s="428" t="s">
        <v>481</v>
      </c>
      <c r="B157" s="118"/>
      <c r="AK157" s="110"/>
      <c r="AM157" s="110"/>
      <c r="AO157" s="110"/>
      <c r="AQ157" s="110"/>
    </row>
    <row r="158" spans="1:43" x14ac:dyDescent="0.2">
      <c r="A158" s="30"/>
      <c r="B158" s="522">
        <f>Aprēķini!B6</f>
        <v>2017</v>
      </c>
      <c r="C158" s="522">
        <f t="shared" ref="C158:AG158" si="85">B158+1</f>
        <v>2018</v>
      </c>
      <c r="D158" s="522">
        <f t="shared" si="85"/>
        <v>2019</v>
      </c>
      <c r="E158" s="522">
        <f t="shared" si="85"/>
        <v>2020</v>
      </c>
      <c r="F158" s="522">
        <f t="shared" si="85"/>
        <v>2021</v>
      </c>
      <c r="G158" s="522">
        <f t="shared" si="85"/>
        <v>2022</v>
      </c>
      <c r="H158" s="522">
        <f t="shared" si="85"/>
        <v>2023</v>
      </c>
      <c r="I158" s="522">
        <f t="shared" si="85"/>
        <v>2024</v>
      </c>
      <c r="J158" s="522">
        <f t="shared" si="85"/>
        <v>2025</v>
      </c>
      <c r="K158" s="522">
        <f t="shared" si="85"/>
        <v>2026</v>
      </c>
      <c r="L158" s="522">
        <f t="shared" si="85"/>
        <v>2027</v>
      </c>
      <c r="M158" s="522">
        <f t="shared" si="85"/>
        <v>2028</v>
      </c>
      <c r="N158" s="522">
        <f t="shared" si="85"/>
        <v>2029</v>
      </c>
      <c r="O158" s="522">
        <f t="shared" si="85"/>
        <v>2030</v>
      </c>
      <c r="P158" s="522">
        <f t="shared" si="85"/>
        <v>2031</v>
      </c>
      <c r="Q158" s="522">
        <f t="shared" si="85"/>
        <v>2032</v>
      </c>
      <c r="R158" s="522">
        <f t="shared" si="85"/>
        <v>2033</v>
      </c>
      <c r="S158" s="522">
        <f t="shared" si="85"/>
        <v>2034</v>
      </c>
      <c r="T158" s="522">
        <f t="shared" si="85"/>
        <v>2035</v>
      </c>
      <c r="U158" s="522">
        <f t="shared" si="85"/>
        <v>2036</v>
      </c>
      <c r="V158" s="522">
        <f t="shared" si="85"/>
        <v>2037</v>
      </c>
      <c r="W158" s="522">
        <f t="shared" si="85"/>
        <v>2038</v>
      </c>
      <c r="X158" s="522">
        <f t="shared" si="85"/>
        <v>2039</v>
      </c>
      <c r="Y158" s="522">
        <f t="shared" si="85"/>
        <v>2040</v>
      </c>
      <c r="Z158" s="522">
        <f t="shared" si="85"/>
        <v>2041</v>
      </c>
      <c r="AA158" s="522">
        <f t="shared" si="85"/>
        <v>2042</v>
      </c>
      <c r="AB158" s="522">
        <f t="shared" si="85"/>
        <v>2043</v>
      </c>
      <c r="AC158" s="522">
        <f t="shared" si="85"/>
        <v>2044</v>
      </c>
      <c r="AD158" s="522">
        <f t="shared" si="85"/>
        <v>2045</v>
      </c>
      <c r="AE158" s="522">
        <f t="shared" si="85"/>
        <v>2046</v>
      </c>
      <c r="AF158" s="522">
        <f t="shared" si="85"/>
        <v>2047</v>
      </c>
      <c r="AG158" s="522">
        <f t="shared" si="85"/>
        <v>2048</v>
      </c>
      <c r="AH158" s="522">
        <f>AG158+1</f>
        <v>2049</v>
      </c>
      <c r="AK158" s="110"/>
      <c r="AM158" s="110"/>
      <c r="AO158" s="110"/>
      <c r="AQ158" s="110"/>
    </row>
    <row r="159" spans="1:43" x14ac:dyDescent="0.2">
      <c r="A159" s="30" t="s">
        <v>482</v>
      </c>
      <c r="B159" s="567">
        <v>0</v>
      </c>
      <c r="C159" s="570">
        <v>0</v>
      </c>
      <c r="D159" s="570">
        <f>'Datu ievade'!C223</f>
        <v>0</v>
      </c>
      <c r="E159" s="570">
        <f>'Datu ievade'!D223</f>
        <v>0</v>
      </c>
      <c r="F159" s="567">
        <f>F106-F160-F161-F164</f>
        <v>0</v>
      </c>
      <c r="G159" s="567">
        <f>G106-G160-G161-G164</f>
        <v>0</v>
      </c>
      <c r="H159" s="567">
        <f>H106-H160-H161-H164</f>
        <v>0</v>
      </c>
      <c r="I159" s="567">
        <f>I106-I160-I161-I164</f>
        <v>0</v>
      </c>
      <c r="J159" s="567">
        <f t="shared" ref="J159:AH159" si="86">J106-J160-J161-J164</f>
        <v>0</v>
      </c>
      <c r="K159" s="567">
        <f t="shared" si="86"/>
        <v>0</v>
      </c>
      <c r="L159" s="567">
        <f t="shared" si="86"/>
        <v>0</v>
      </c>
      <c r="M159" s="567">
        <f t="shared" si="86"/>
        <v>0</v>
      </c>
      <c r="N159" s="567">
        <f t="shared" si="86"/>
        <v>0</v>
      </c>
      <c r="O159" s="567">
        <f t="shared" si="86"/>
        <v>0</v>
      </c>
      <c r="P159" s="567">
        <f t="shared" si="86"/>
        <v>0</v>
      </c>
      <c r="Q159" s="567">
        <f t="shared" si="86"/>
        <v>0</v>
      </c>
      <c r="R159" s="567">
        <f t="shared" si="86"/>
        <v>0</v>
      </c>
      <c r="S159" s="567">
        <f t="shared" si="86"/>
        <v>0</v>
      </c>
      <c r="T159" s="567">
        <f t="shared" si="86"/>
        <v>0</v>
      </c>
      <c r="U159" s="567">
        <f t="shared" si="86"/>
        <v>0</v>
      </c>
      <c r="V159" s="567">
        <f t="shared" si="86"/>
        <v>0</v>
      </c>
      <c r="W159" s="567">
        <f t="shared" si="86"/>
        <v>0</v>
      </c>
      <c r="X159" s="567">
        <f t="shared" si="86"/>
        <v>0</v>
      </c>
      <c r="Y159" s="567">
        <f t="shared" si="86"/>
        <v>0</v>
      </c>
      <c r="Z159" s="567">
        <f t="shared" si="86"/>
        <v>0</v>
      </c>
      <c r="AA159" s="567">
        <f t="shared" si="86"/>
        <v>0</v>
      </c>
      <c r="AB159" s="567">
        <f t="shared" si="86"/>
        <v>0</v>
      </c>
      <c r="AC159" s="567">
        <f t="shared" si="86"/>
        <v>0</v>
      </c>
      <c r="AD159" s="567">
        <f t="shared" si="86"/>
        <v>0</v>
      </c>
      <c r="AE159" s="567">
        <f t="shared" si="86"/>
        <v>0</v>
      </c>
      <c r="AF159" s="567">
        <f t="shared" si="86"/>
        <v>0</v>
      </c>
      <c r="AG159" s="567">
        <f t="shared" si="86"/>
        <v>0</v>
      </c>
      <c r="AH159" s="567">
        <f t="shared" si="86"/>
        <v>0</v>
      </c>
      <c r="AK159" s="110"/>
      <c r="AM159" s="110"/>
      <c r="AO159" s="110"/>
      <c r="AQ159" s="110"/>
    </row>
    <row r="160" spans="1:43" x14ac:dyDescent="0.2">
      <c r="A160" s="30" t="s">
        <v>483</v>
      </c>
      <c r="B160" s="524">
        <v>248516.8</v>
      </c>
      <c r="C160" s="524">
        <v>91482.2</v>
      </c>
      <c r="D160" s="524">
        <f>'Datu ievade'!D220</f>
        <v>239416.73</v>
      </c>
      <c r="E160" s="524">
        <f>'Datu ievade'!E220</f>
        <v>0</v>
      </c>
      <c r="F160" s="524">
        <f>'[1]Datu ievade'!E218</f>
        <v>0</v>
      </c>
      <c r="G160" s="524">
        <f>'[1]Datu ievade'!F218</f>
        <v>0</v>
      </c>
      <c r="H160" s="524">
        <f>'[1]Datu ievade'!G218</f>
        <v>0</v>
      </c>
      <c r="I160" s="524">
        <f>'[1]Datu ievade'!H218</f>
        <v>0</v>
      </c>
      <c r="J160" s="524">
        <v>0</v>
      </c>
      <c r="K160" s="524">
        <v>0</v>
      </c>
      <c r="L160" s="524">
        <v>0</v>
      </c>
      <c r="M160" s="524">
        <v>0</v>
      </c>
      <c r="N160" s="524">
        <v>0</v>
      </c>
      <c r="O160" s="524">
        <v>0</v>
      </c>
      <c r="P160" s="524">
        <v>0</v>
      </c>
      <c r="Q160" s="524">
        <v>0</v>
      </c>
      <c r="R160" s="524">
        <v>0</v>
      </c>
      <c r="S160" s="524">
        <v>0</v>
      </c>
      <c r="T160" s="524">
        <v>0</v>
      </c>
      <c r="U160" s="524">
        <v>0</v>
      </c>
      <c r="V160" s="524">
        <v>0</v>
      </c>
      <c r="W160" s="524">
        <v>0</v>
      </c>
      <c r="X160" s="524">
        <v>0</v>
      </c>
      <c r="Y160" s="524">
        <v>0</v>
      </c>
      <c r="Z160" s="524">
        <v>0</v>
      </c>
      <c r="AA160" s="524">
        <v>0</v>
      </c>
      <c r="AB160" s="524">
        <v>0</v>
      </c>
      <c r="AC160" s="524">
        <v>0</v>
      </c>
      <c r="AD160" s="524">
        <v>0</v>
      </c>
      <c r="AE160" s="524">
        <v>0</v>
      </c>
      <c r="AF160" s="524">
        <v>0</v>
      </c>
      <c r="AG160" s="524">
        <v>0</v>
      </c>
      <c r="AH160" s="524">
        <v>0</v>
      </c>
      <c r="AK160" s="110"/>
      <c r="AM160" s="110"/>
      <c r="AO160" s="110"/>
      <c r="AQ160" s="110"/>
    </row>
    <row r="161" spans="1:43" x14ac:dyDescent="0.2">
      <c r="A161" s="30" t="s">
        <v>393</v>
      </c>
      <c r="B161" s="524">
        <f t="shared" ref="B161:I161" si="87">$B$168*B110</f>
        <v>0</v>
      </c>
      <c r="C161" s="571">
        <f t="shared" si="87"/>
        <v>0</v>
      </c>
      <c r="D161" s="571">
        <f t="shared" si="87"/>
        <v>0</v>
      </c>
      <c r="E161" s="571">
        <f t="shared" si="87"/>
        <v>0</v>
      </c>
      <c r="F161" s="524">
        <f t="shared" si="87"/>
        <v>0</v>
      </c>
      <c r="G161" s="524">
        <f t="shared" si="87"/>
        <v>0</v>
      </c>
      <c r="H161" s="524">
        <f t="shared" si="87"/>
        <v>0</v>
      </c>
      <c r="I161" s="524">
        <f t="shared" si="87"/>
        <v>0</v>
      </c>
      <c r="J161" s="524">
        <f t="shared" ref="J161:AH161" si="88">$B$168*J110</f>
        <v>0</v>
      </c>
      <c r="K161" s="524">
        <f t="shared" si="88"/>
        <v>0</v>
      </c>
      <c r="L161" s="524">
        <f t="shared" si="88"/>
        <v>0</v>
      </c>
      <c r="M161" s="524">
        <f t="shared" si="88"/>
        <v>0</v>
      </c>
      <c r="N161" s="524">
        <f t="shared" si="88"/>
        <v>0</v>
      </c>
      <c r="O161" s="524">
        <f t="shared" si="88"/>
        <v>0</v>
      </c>
      <c r="P161" s="524">
        <f t="shared" si="88"/>
        <v>0</v>
      </c>
      <c r="Q161" s="524">
        <f t="shared" si="88"/>
        <v>0</v>
      </c>
      <c r="R161" s="524">
        <f t="shared" si="88"/>
        <v>0</v>
      </c>
      <c r="S161" s="524">
        <f t="shared" si="88"/>
        <v>0</v>
      </c>
      <c r="T161" s="524">
        <f t="shared" si="88"/>
        <v>0</v>
      </c>
      <c r="U161" s="524">
        <f t="shared" si="88"/>
        <v>0</v>
      </c>
      <c r="V161" s="524">
        <f t="shared" si="88"/>
        <v>0</v>
      </c>
      <c r="W161" s="524">
        <f t="shared" si="88"/>
        <v>0</v>
      </c>
      <c r="X161" s="524">
        <f t="shared" si="88"/>
        <v>0</v>
      </c>
      <c r="Y161" s="524">
        <f t="shared" si="88"/>
        <v>0</v>
      </c>
      <c r="Z161" s="524">
        <f t="shared" si="88"/>
        <v>0</v>
      </c>
      <c r="AA161" s="524">
        <f t="shared" si="88"/>
        <v>0</v>
      </c>
      <c r="AB161" s="524">
        <f t="shared" si="88"/>
        <v>0</v>
      </c>
      <c r="AC161" s="524">
        <f t="shared" si="88"/>
        <v>0</v>
      </c>
      <c r="AD161" s="524">
        <f t="shared" si="88"/>
        <v>0</v>
      </c>
      <c r="AE161" s="524">
        <f t="shared" si="88"/>
        <v>0</v>
      </c>
      <c r="AF161" s="524">
        <f t="shared" si="88"/>
        <v>0</v>
      </c>
      <c r="AG161" s="524">
        <f t="shared" si="88"/>
        <v>0</v>
      </c>
      <c r="AH161" s="524">
        <f t="shared" si="88"/>
        <v>0</v>
      </c>
      <c r="AK161" s="110"/>
      <c r="AM161" s="110"/>
      <c r="AO161" s="110"/>
      <c r="AQ161" s="110"/>
    </row>
    <row r="162" spans="1:43" x14ac:dyDescent="0.2">
      <c r="A162" s="523" t="s">
        <v>484</v>
      </c>
      <c r="B162" s="525">
        <f t="shared" ref="B162:G162" si="89">SUM(B159:B161)</f>
        <v>248516.8</v>
      </c>
      <c r="C162" s="572">
        <f t="shared" si="89"/>
        <v>91482.2</v>
      </c>
      <c r="D162" s="572">
        <f t="shared" si="89"/>
        <v>239416.73</v>
      </c>
      <c r="E162" s="572">
        <f t="shared" si="89"/>
        <v>0</v>
      </c>
      <c r="F162" s="525">
        <f t="shared" si="89"/>
        <v>0</v>
      </c>
      <c r="G162" s="525">
        <f t="shared" si="89"/>
        <v>0</v>
      </c>
      <c r="H162" s="525">
        <v>0</v>
      </c>
      <c r="I162" s="525">
        <f>SUM(I159:I161)</f>
        <v>0</v>
      </c>
      <c r="J162" s="525">
        <f t="shared" ref="J162:AH162" si="90">SUM(J159:J161)</f>
        <v>0</v>
      </c>
      <c r="K162" s="525">
        <f t="shared" si="90"/>
        <v>0</v>
      </c>
      <c r="L162" s="525">
        <f t="shared" si="90"/>
        <v>0</v>
      </c>
      <c r="M162" s="525">
        <f t="shared" si="90"/>
        <v>0</v>
      </c>
      <c r="N162" s="525">
        <f t="shared" si="90"/>
        <v>0</v>
      </c>
      <c r="O162" s="525">
        <f t="shared" si="90"/>
        <v>0</v>
      </c>
      <c r="P162" s="525">
        <f t="shared" si="90"/>
        <v>0</v>
      </c>
      <c r="Q162" s="525">
        <f t="shared" si="90"/>
        <v>0</v>
      </c>
      <c r="R162" s="525">
        <f t="shared" si="90"/>
        <v>0</v>
      </c>
      <c r="S162" s="525">
        <f t="shared" si="90"/>
        <v>0</v>
      </c>
      <c r="T162" s="525">
        <f t="shared" si="90"/>
        <v>0</v>
      </c>
      <c r="U162" s="525">
        <f t="shared" si="90"/>
        <v>0</v>
      </c>
      <c r="V162" s="525">
        <f t="shared" si="90"/>
        <v>0</v>
      </c>
      <c r="W162" s="525">
        <f t="shared" si="90"/>
        <v>0</v>
      </c>
      <c r="X162" s="525">
        <f t="shared" si="90"/>
        <v>0</v>
      </c>
      <c r="Y162" s="525">
        <f t="shared" si="90"/>
        <v>0</v>
      </c>
      <c r="Z162" s="525">
        <f t="shared" si="90"/>
        <v>0</v>
      </c>
      <c r="AA162" s="525">
        <f t="shared" si="90"/>
        <v>0</v>
      </c>
      <c r="AB162" s="525">
        <f t="shared" si="90"/>
        <v>0</v>
      </c>
      <c r="AC162" s="525">
        <f t="shared" si="90"/>
        <v>0</v>
      </c>
      <c r="AD162" s="525">
        <f t="shared" si="90"/>
        <v>0</v>
      </c>
      <c r="AE162" s="525">
        <f t="shared" si="90"/>
        <v>0</v>
      </c>
      <c r="AF162" s="525">
        <f t="shared" si="90"/>
        <v>0</v>
      </c>
      <c r="AG162" s="525">
        <f t="shared" si="90"/>
        <v>0</v>
      </c>
      <c r="AH162" s="525">
        <f t="shared" si="90"/>
        <v>0</v>
      </c>
      <c r="AK162" s="110"/>
      <c r="AM162" s="110"/>
      <c r="AO162" s="110"/>
      <c r="AQ162" s="110"/>
    </row>
    <row r="163" spans="1:43" x14ac:dyDescent="0.2">
      <c r="A163" s="523" t="s">
        <v>485</v>
      </c>
      <c r="B163" s="525">
        <f>B159+B161</f>
        <v>0</v>
      </c>
      <c r="C163" s="572">
        <f t="shared" ref="C163:I163" si="91">C159+C161</f>
        <v>0</v>
      </c>
      <c r="D163" s="572">
        <f t="shared" si="91"/>
        <v>0</v>
      </c>
      <c r="E163" s="572">
        <f t="shared" si="91"/>
        <v>0</v>
      </c>
      <c r="F163" s="525">
        <f t="shared" si="91"/>
        <v>0</v>
      </c>
      <c r="G163" s="525">
        <f t="shared" si="91"/>
        <v>0</v>
      </c>
      <c r="H163" s="525">
        <f t="shared" si="91"/>
        <v>0</v>
      </c>
      <c r="I163" s="525">
        <f t="shared" si="91"/>
        <v>0</v>
      </c>
      <c r="J163" s="525">
        <f t="shared" ref="J163:AH163" si="92">J159+J161</f>
        <v>0</v>
      </c>
      <c r="K163" s="525">
        <f t="shared" si="92"/>
        <v>0</v>
      </c>
      <c r="L163" s="525">
        <f t="shared" si="92"/>
        <v>0</v>
      </c>
      <c r="M163" s="525">
        <f t="shared" si="92"/>
        <v>0</v>
      </c>
      <c r="N163" s="525">
        <f t="shared" si="92"/>
        <v>0</v>
      </c>
      <c r="O163" s="525">
        <f t="shared" si="92"/>
        <v>0</v>
      </c>
      <c r="P163" s="525">
        <f t="shared" si="92"/>
        <v>0</v>
      </c>
      <c r="Q163" s="525">
        <f t="shared" si="92"/>
        <v>0</v>
      </c>
      <c r="R163" s="525">
        <f t="shared" si="92"/>
        <v>0</v>
      </c>
      <c r="S163" s="525">
        <f t="shared" si="92"/>
        <v>0</v>
      </c>
      <c r="T163" s="525">
        <f t="shared" si="92"/>
        <v>0</v>
      </c>
      <c r="U163" s="525">
        <f t="shared" si="92"/>
        <v>0</v>
      </c>
      <c r="V163" s="525">
        <f t="shared" si="92"/>
        <v>0</v>
      </c>
      <c r="W163" s="525">
        <f t="shared" si="92"/>
        <v>0</v>
      </c>
      <c r="X163" s="525">
        <f t="shared" si="92"/>
        <v>0</v>
      </c>
      <c r="Y163" s="525">
        <f t="shared" si="92"/>
        <v>0</v>
      </c>
      <c r="Z163" s="525">
        <f t="shared" si="92"/>
        <v>0</v>
      </c>
      <c r="AA163" s="525">
        <f t="shared" si="92"/>
        <v>0</v>
      </c>
      <c r="AB163" s="525">
        <f t="shared" si="92"/>
        <v>0</v>
      </c>
      <c r="AC163" s="525">
        <f t="shared" si="92"/>
        <v>0</v>
      </c>
      <c r="AD163" s="525">
        <f t="shared" si="92"/>
        <v>0</v>
      </c>
      <c r="AE163" s="525">
        <f t="shared" si="92"/>
        <v>0</v>
      </c>
      <c r="AF163" s="525">
        <f t="shared" si="92"/>
        <v>0</v>
      </c>
      <c r="AG163" s="525">
        <f t="shared" si="92"/>
        <v>0</v>
      </c>
      <c r="AH163" s="525">
        <f t="shared" si="92"/>
        <v>0</v>
      </c>
      <c r="AK163" s="110"/>
      <c r="AM163" s="110"/>
      <c r="AO163" s="110"/>
      <c r="AQ163" s="110"/>
    </row>
    <row r="164" spans="1:43" x14ac:dyDescent="0.2">
      <c r="A164" s="30" t="s">
        <v>486</v>
      </c>
      <c r="B164" s="524">
        <f>MAX(B110*$B$169,0)</f>
        <v>352022.34906969237</v>
      </c>
      <c r="C164" s="571">
        <f>ROUND((MAX(C110*$B$169,0)),0)</f>
        <v>207391</v>
      </c>
      <c r="D164" s="571">
        <f>ROUND((MAX(D110*$B$169,0)),0)</f>
        <v>326770</v>
      </c>
      <c r="E164" s="571">
        <f>ROUND((MAX(E110*$B$169,0)),0)</f>
        <v>0</v>
      </c>
      <c r="F164" s="524">
        <f>MAX(F110*$B$169,0)</f>
        <v>0</v>
      </c>
      <c r="G164" s="524">
        <f>MAX(G110*$B$169,0)</f>
        <v>0</v>
      </c>
      <c r="H164" s="524">
        <f>MAX(H110*$B$169,0)</f>
        <v>0</v>
      </c>
      <c r="I164" s="524">
        <f>MAX(I110*$B$169,0)</f>
        <v>0</v>
      </c>
      <c r="J164" s="524">
        <f t="shared" ref="J164:AH164" si="93">MAX(J110*$B$169,0)</f>
        <v>0</v>
      </c>
      <c r="K164" s="524">
        <f t="shared" si="93"/>
        <v>0</v>
      </c>
      <c r="L164" s="524">
        <f t="shared" si="93"/>
        <v>0</v>
      </c>
      <c r="M164" s="524">
        <f t="shared" si="93"/>
        <v>0</v>
      </c>
      <c r="N164" s="524">
        <f t="shared" si="93"/>
        <v>0</v>
      </c>
      <c r="O164" s="524">
        <f t="shared" si="93"/>
        <v>0</v>
      </c>
      <c r="P164" s="524">
        <f t="shared" si="93"/>
        <v>0</v>
      </c>
      <c r="Q164" s="524">
        <f t="shared" si="93"/>
        <v>0</v>
      </c>
      <c r="R164" s="524">
        <f t="shared" si="93"/>
        <v>0</v>
      </c>
      <c r="S164" s="524">
        <f t="shared" si="93"/>
        <v>0</v>
      </c>
      <c r="T164" s="524">
        <f t="shared" si="93"/>
        <v>0</v>
      </c>
      <c r="U164" s="524">
        <f t="shared" si="93"/>
        <v>0</v>
      </c>
      <c r="V164" s="524">
        <f t="shared" si="93"/>
        <v>0</v>
      </c>
      <c r="W164" s="524">
        <f t="shared" si="93"/>
        <v>0</v>
      </c>
      <c r="X164" s="524">
        <f t="shared" si="93"/>
        <v>0</v>
      </c>
      <c r="Y164" s="524">
        <f t="shared" si="93"/>
        <v>0</v>
      </c>
      <c r="Z164" s="524">
        <f t="shared" si="93"/>
        <v>0</v>
      </c>
      <c r="AA164" s="524">
        <f t="shared" si="93"/>
        <v>0</v>
      </c>
      <c r="AB164" s="524">
        <f t="shared" si="93"/>
        <v>0</v>
      </c>
      <c r="AC164" s="524">
        <f t="shared" si="93"/>
        <v>0</v>
      </c>
      <c r="AD164" s="524">
        <f t="shared" si="93"/>
        <v>0</v>
      </c>
      <c r="AE164" s="524">
        <f t="shared" si="93"/>
        <v>0</v>
      </c>
      <c r="AF164" s="524">
        <f t="shared" si="93"/>
        <v>0</v>
      </c>
      <c r="AG164" s="524">
        <f t="shared" si="93"/>
        <v>0</v>
      </c>
      <c r="AH164" s="524">
        <f t="shared" si="93"/>
        <v>0</v>
      </c>
      <c r="AK164" s="110"/>
      <c r="AM164" s="110"/>
      <c r="AO164" s="110"/>
      <c r="AQ164" s="110"/>
    </row>
    <row r="165" spans="1:43" x14ac:dyDescent="0.2">
      <c r="A165" s="523" t="s">
        <v>532</v>
      </c>
      <c r="B165" s="525">
        <f t="shared" ref="B165:I165" si="94">B162+B164</f>
        <v>600539.14906969236</v>
      </c>
      <c r="C165" s="572">
        <f t="shared" si="94"/>
        <v>298873.2</v>
      </c>
      <c r="D165" s="572">
        <f t="shared" si="94"/>
        <v>566186.73</v>
      </c>
      <c r="E165" s="572">
        <f t="shared" si="94"/>
        <v>0</v>
      </c>
      <c r="F165" s="525">
        <f t="shared" si="94"/>
        <v>0</v>
      </c>
      <c r="G165" s="525">
        <f t="shared" si="94"/>
        <v>0</v>
      </c>
      <c r="H165" s="525">
        <v>0</v>
      </c>
      <c r="I165" s="525">
        <f t="shared" si="94"/>
        <v>0</v>
      </c>
      <c r="J165" s="525">
        <f t="shared" ref="J165:AG165" si="95">J162+J164</f>
        <v>0</v>
      </c>
      <c r="K165" s="525">
        <f t="shared" si="95"/>
        <v>0</v>
      </c>
      <c r="L165" s="525">
        <f t="shared" si="95"/>
        <v>0</v>
      </c>
      <c r="M165" s="525">
        <f t="shared" si="95"/>
        <v>0</v>
      </c>
      <c r="N165" s="525">
        <f t="shared" si="95"/>
        <v>0</v>
      </c>
      <c r="O165" s="525">
        <f t="shared" si="95"/>
        <v>0</v>
      </c>
      <c r="P165" s="525">
        <f t="shared" si="95"/>
        <v>0</v>
      </c>
      <c r="Q165" s="525">
        <f t="shared" si="95"/>
        <v>0</v>
      </c>
      <c r="R165" s="525">
        <f t="shared" si="95"/>
        <v>0</v>
      </c>
      <c r="S165" s="525">
        <f t="shared" si="95"/>
        <v>0</v>
      </c>
      <c r="T165" s="525">
        <f t="shared" si="95"/>
        <v>0</v>
      </c>
      <c r="U165" s="525">
        <f t="shared" si="95"/>
        <v>0</v>
      </c>
      <c r="V165" s="525">
        <f t="shared" si="95"/>
        <v>0</v>
      </c>
      <c r="W165" s="525">
        <f t="shared" si="95"/>
        <v>0</v>
      </c>
      <c r="X165" s="525">
        <f t="shared" si="95"/>
        <v>0</v>
      </c>
      <c r="Y165" s="525">
        <f t="shared" si="95"/>
        <v>0</v>
      </c>
      <c r="Z165" s="525">
        <f t="shared" si="95"/>
        <v>0</v>
      </c>
      <c r="AA165" s="525">
        <f t="shared" si="95"/>
        <v>0</v>
      </c>
      <c r="AB165" s="525">
        <f t="shared" si="95"/>
        <v>0</v>
      </c>
      <c r="AC165" s="525">
        <f t="shared" si="95"/>
        <v>0</v>
      </c>
      <c r="AD165" s="525">
        <f t="shared" si="95"/>
        <v>0</v>
      </c>
      <c r="AE165" s="525">
        <f t="shared" si="95"/>
        <v>0</v>
      </c>
      <c r="AF165" s="525">
        <f t="shared" si="95"/>
        <v>0</v>
      </c>
      <c r="AG165" s="525">
        <f t="shared" si="95"/>
        <v>0</v>
      </c>
      <c r="AH165" s="525">
        <f>AH162+AH164</f>
        <v>0</v>
      </c>
      <c r="AK165" s="110"/>
      <c r="AM165" s="110"/>
      <c r="AO165" s="110"/>
      <c r="AQ165" s="110"/>
    </row>
    <row r="166" spans="1:43" x14ac:dyDescent="0.2">
      <c r="B166" s="110"/>
      <c r="C166" s="110"/>
      <c r="D166" s="110"/>
      <c r="E166" s="110"/>
      <c r="F166" s="110"/>
      <c r="G166" s="110"/>
      <c r="H166" s="110"/>
      <c r="I166" s="110"/>
      <c r="J166" s="110"/>
      <c r="K166" s="110"/>
      <c r="L166" s="110"/>
      <c r="M166" s="110"/>
      <c r="N166" s="110"/>
      <c r="O166" s="110"/>
      <c r="P166" s="110"/>
      <c r="Q166" s="110"/>
      <c r="R166" s="110"/>
      <c r="S166" s="110"/>
      <c r="AK166" s="110"/>
      <c r="AM166" s="110"/>
      <c r="AO166" s="110"/>
      <c r="AQ166" s="110"/>
    </row>
    <row r="167" spans="1:43" ht="15" x14ac:dyDescent="0.2">
      <c r="A167" s="428" t="s">
        <v>533</v>
      </c>
      <c r="AK167" s="110"/>
      <c r="AM167" s="110"/>
      <c r="AO167" s="110"/>
      <c r="AQ167" s="110"/>
    </row>
    <row r="168" spans="1:43" outlineLevel="1" x14ac:dyDescent="0.2">
      <c r="A168" s="28" t="s">
        <v>534</v>
      </c>
      <c r="B168" s="282">
        <f>'Kopējie pieņēmumi'!B38</f>
        <v>0</v>
      </c>
      <c r="AK168" s="110"/>
      <c r="AM168" s="110"/>
      <c r="AO168" s="110"/>
      <c r="AQ168" s="110"/>
    </row>
    <row r="169" spans="1:43" outlineLevel="1" x14ac:dyDescent="0.2">
      <c r="A169" s="28" t="s">
        <v>535</v>
      </c>
      <c r="B169" s="306">
        <f>Līdzfinansējums!F35</f>
        <v>0.62424416999999999</v>
      </c>
      <c r="AK169" s="110"/>
      <c r="AM169" s="110"/>
      <c r="AO169" s="110"/>
      <c r="AQ169" s="110"/>
    </row>
    <row r="170" spans="1:43" outlineLevel="1" x14ac:dyDescent="0.2">
      <c r="A170" s="28" t="s">
        <v>536</v>
      </c>
      <c r="B170" s="306">
        <f>B168+B169</f>
        <v>0.62424416999999999</v>
      </c>
      <c r="AK170" s="110"/>
      <c r="AM170" s="110"/>
      <c r="AO170" s="110"/>
      <c r="AQ170" s="110"/>
    </row>
    <row r="171" spans="1:43" x14ac:dyDescent="0.2">
      <c r="AK171" s="110"/>
      <c r="AM171" s="110"/>
      <c r="AO171" s="110"/>
      <c r="AQ171" s="110"/>
    </row>
    <row r="172" spans="1:43" ht="15" x14ac:dyDescent="0.2">
      <c r="A172" s="428" t="s">
        <v>537</v>
      </c>
      <c r="AK172" s="110"/>
      <c r="AM172" s="110"/>
      <c r="AO172" s="110"/>
      <c r="AQ172" s="110"/>
    </row>
    <row r="173" spans="1:43" x14ac:dyDescent="0.2">
      <c r="A173" s="30"/>
      <c r="B173" s="522">
        <f>Aprēķini!B6</f>
        <v>2017</v>
      </c>
      <c r="C173" s="522">
        <f t="shared" ref="C173:AG173" si="96">B173+1</f>
        <v>2018</v>
      </c>
      <c r="D173" s="522">
        <f t="shared" si="96"/>
        <v>2019</v>
      </c>
      <c r="E173" s="522">
        <f t="shared" si="96"/>
        <v>2020</v>
      </c>
      <c r="F173" s="522">
        <f t="shared" si="96"/>
        <v>2021</v>
      </c>
      <c r="G173" s="522">
        <f t="shared" si="96"/>
        <v>2022</v>
      </c>
      <c r="H173" s="522">
        <f t="shared" si="96"/>
        <v>2023</v>
      </c>
      <c r="I173" s="522">
        <f t="shared" si="96"/>
        <v>2024</v>
      </c>
      <c r="J173" s="522">
        <f t="shared" si="96"/>
        <v>2025</v>
      </c>
      <c r="K173" s="522">
        <f t="shared" si="96"/>
        <v>2026</v>
      </c>
      <c r="L173" s="522">
        <f t="shared" si="96"/>
        <v>2027</v>
      </c>
      <c r="M173" s="522">
        <f t="shared" si="96"/>
        <v>2028</v>
      </c>
      <c r="N173" s="522">
        <f t="shared" si="96"/>
        <v>2029</v>
      </c>
      <c r="O173" s="522">
        <f t="shared" si="96"/>
        <v>2030</v>
      </c>
      <c r="P173" s="522">
        <f t="shared" si="96"/>
        <v>2031</v>
      </c>
      <c r="Q173" s="522">
        <f t="shared" si="96"/>
        <v>2032</v>
      </c>
      <c r="R173" s="522">
        <f t="shared" si="96"/>
        <v>2033</v>
      </c>
      <c r="S173" s="522">
        <f t="shared" si="96"/>
        <v>2034</v>
      </c>
      <c r="T173" s="522">
        <f t="shared" si="96"/>
        <v>2035</v>
      </c>
      <c r="U173" s="522">
        <f t="shared" si="96"/>
        <v>2036</v>
      </c>
      <c r="V173" s="522">
        <f t="shared" si="96"/>
        <v>2037</v>
      </c>
      <c r="W173" s="522">
        <f t="shared" si="96"/>
        <v>2038</v>
      </c>
      <c r="X173" s="522">
        <f t="shared" si="96"/>
        <v>2039</v>
      </c>
      <c r="Y173" s="522">
        <f t="shared" si="96"/>
        <v>2040</v>
      </c>
      <c r="Z173" s="522">
        <f t="shared" si="96"/>
        <v>2041</v>
      </c>
      <c r="AA173" s="522">
        <f t="shared" si="96"/>
        <v>2042</v>
      </c>
      <c r="AB173" s="522">
        <f t="shared" si="96"/>
        <v>2043</v>
      </c>
      <c r="AC173" s="522">
        <f t="shared" si="96"/>
        <v>2044</v>
      </c>
      <c r="AD173" s="522">
        <f t="shared" si="96"/>
        <v>2045</v>
      </c>
      <c r="AE173" s="522">
        <f t="shared" si="96"/>
        <v>2046</v>
      </c>
      <c r="AF173" s="522">
        <f t="shared" si="96"/>
        <v>2047</v>
      </c>
      <c r="AG173" s="522">
        <f t="shared" si="96"/>
        <v>2048</v>
      </c>
      <c r="AH173" s="522">
        <f>AG173+1</f>
        <v>2049</v>
      </c>
      <c r="AK173" s="110"/>
      <c r="AM173" s="110"/>
      <c r="AO173" s="110"/>
      <c r="AQ173" s="110"/>
    </row>
    <row r="174" spans="1:43" x14ac:dyDescent="0.2">
      <c r="A174" s="30" t="s">
        <v>532</v>
      </c>
      <c r="B174" s="524">
        <f>Aprēķini!B165</f>
        <v>600539.14906969236</v>
      </c>
      <c r="C174" s="524">
        <f>Aprēķini!C165</f>
        <v>298873.2</v>
      </c>
      <c r="D174" s="524">
        <f>Aprēķini!D165</f>
        <v>566186.73</v>
      </c>
      <c r="E174" s="524">
        <f>Aprēķini!E165</f>
        <v>0</v>
      </c>
      <c r="F174" s="524">
        <f>Aprēķini!F165</f>
        <v>0</v>
      </c>
      <c r="G174" s="524">
        <f>Aprēķini!G165</f>
        <v>0</v>
      </c>
      <c r="H174" s="524">
        <v>0</v>
      </c>
      <c r="I174" s="524">
        <f>Aprēķini!I165</f>
        <v>0</v>
      </c>
      <c r="J174" s="524">
        <f>Aprēķini!J165</f>
        <v>0</v>
      </c>
      <c r="K174" s="524">
        <f>Aprēķini!K165</f>
        <v>0</v>
      </c>
      <c r="L174" s="524">
        <f>Aprēķini!L165</f>
        <v>0</v>
      </c>
      <c r="M174" s="524">
        <f>Aprēķini!M165</f>
        <v>0</v>
      </c>
      <c r="N174" s="524">
        <f>Aprēķini!N165</f>
        <v>0</v>
      </c>
      <c r="O174" s="524">
        <f>Aprēķini!O165</f>
        <v>0</v>
      </c>
      <c r="P174" s="524">
        <f>Aprēķini!P165</f>
        <v>0</v>
      </c>
      <c r="Q174" s="524">
        <f>Aprēķini!Q165</f>
        <v>0</v>
      </c>
      <c r="R174" s="524">
        <f>Aprēķini!R165</f>
        <v>0</v>
      </c>
      <c r="S174" s="524">
        <f>Aprēķini!S165</f>
        <v>0</v>
      </c>
      <c r="T174" s="524">
        <f>Aprēķini!T165</f>
        <v>0</v>
      </c>
      <c r="U174" s="524">
        <f>Aprēķini!U165</f>
        <v>0</v>
      </c>
      <c r="V174" s="524">
        <f>Aprēķini!V165</f>
        <v>0</v>
      </c>
      <c r="W174" s="524">
        <f>Aprēķini!W165</f>
        <v>0</v>
      </c>
      <c r="X174" s="524">
        <f>Aprēķini!X165</f>
        <v>0</v>
      </c>
      <c r="Y174" s="524">
        <f>Aprēķini!Y165</f>
        <v>0</v>
      </c>
      <c r="Z174" s="524">
        <f>Aprēķini!Z165</f>
        <v>0</v>
      </c>
      <c r="AA174" s="524">
        <f>Aprēķini!AA165</f>
        <v>0</v>
      </c>
      <c r="AB174" s="524">
        <f>Aprēķini!AB165</f>
        <v>0</v>
      </c>
      <c r="AC174" s="524">
        <f>Aprēķini!AC165</f>
        <v>0</v>
      </c>
      <c r="AD174" s="524">
        <f>Aprēķini!AD165</f>
        <v>0</v>
      </c>
      <c r="AE174" s="524">
        <f>Aprēķini!AE165</f>
        <v>0</v>
      </c>
      <c r="AF174" s="524">
        <f>Aprēķini!AF165</f>
        <v>0</v>
      </c>
      <c r="AG174" s="524">
        <f>Aprēķini!AG165</f>
        <v>0</v>
      </c>
      <c r="AH174" s="524">
        <f>Aprēķini!AH165</f>
        <v>0</v>
      </c>
      <c r="AK174" s="110"/>
      <c r="AM174" s="110"/>
      <c r="AO174" s="110"/>
      <c r="AQ174" s="110"/>
    </row>
    <row r="175" spans="1:43" x14ac:dyDescent="0.2">
      <c r="A175" s="30" t="s">
        <v>538</v>
      </c>
      <c r="B175" s="524">
        <f>'Saimnieciskas pamatdarbibas NP'!B109</f>
        <v>824206.17999999993</v>
      </c>
      <c r="C175" s="524">
        <f>'Saimnieciskas pamatdarbibas NP'!C109</f>
        <v>827091.39593282482</v>
      </c>
      <c r="D175" s="524">
        <f>'Saimnieciskas pamatdarbibas NP'!D109</f>
        <v>915586.19113275269</v>
      </c>
      <c r="E175" s="524">
        <f>'Saimnieciskas pamatdarbibas NP'!E109</f>
        <v>945292.45216343622</v>
      </c>
      <c r="F175" s="524">
        <f>'Saimnieciskas pamatdarbibas NP'!F109</f>
        <v>959019.26528996846</v>
      </c>
      <c r="G175" s="524">
        <f>'Saimnieciskas pamatdarbibas NP'!G109</f>
        <v>972786.28663478978</v>
      </c>
      <c r="H175" s="524">
        <f>'Saimnieciskas pamatdarbibas NP'!H109</f>
        <v>984948.11870242096</v>
      </c>
      <c r="I175" s="524">
        <f>'Saimnieciskas pamatdarbibas NP'!I109</f>
        <v>997108.37940950599</v>
      </c>
      <c r="J175" s="524">
        <f>'Saimnieciskas pamatdarbibas NP'!J109</f>
        <v>1013085.5875691329</v>
      </c>
      <c r="K175" s="524">
        <f>'Saimnieciskas pamatdarbibas NP'!K109</f>
        <v>1025594.2720087635</v>
      </c>
      <c r="L175" s="524">
        <f>'Saimnieciskas pamatdarbibas NP'!L109</f>
        <v>1041577.7656105745</v>
      </c>
      <c r="M175" s="524">
        <f>'Saimnieciskas pamatdarbibas NP'!M109</f>
        <v>1057212.8354798397</v>
      </c>
      <c r="N175" s="524">
        <f>'Saimnieciskas pamatdarbibas NP'!N109</f>
        <v>1066579.4208843755</v>
      </c>
      <c r="O175" s="524">
        <f>'Saimnieciskas pamatdarbibas NP'!O109</f>
        <v>1061379.7780254732</v>
      </c>
      <c r="P175" s="524">
        <f>'Saimnieciskas pamatdarbibas NP'!P109</f>
        <v>1079447.5285803741</v>
      </c>
      <c r="Q175" s="524">
        <f>'Saimnieciskas pamatdarbibas NP'!Q109</f>
        <v>1096805.8607858154</v>
      </c>
      <c r="R175" s="524">
        <f>'Saimnieciskas pamatdarbibas NP'!R109</f>
        <v>1070424.652826746</v>
      </c>
      <c r="S175" s="524">
        <f>'Saimnieciskas pamatdarbibas NP'!S109</f>
        <v>1074985.58856076</v>
      </c>
      <c r="T175" s="524">
        <f>'Saimnieciskas pamatdarbibas NP'!T109</f>
        <v>1089912.8114411118</v>
      </c>
      <c r="U175" s="524">
        <f>'Saimnieciskas pamatdarbibas NP'!U109</f>
        <v>1109367.971484011</v>
      </c>
      <c r="V175" s="524">
        <f>'Saimnieciskas pamatdarbibas NP'!V109</f>
        <v>1136802.3074434474</v>
      </c>
      <c r="W175" s="524">
        <f>'Saimnieciskas pamatdarbibas NP'!W109</f>
        <v>1156605.8912188925</v>
      </c>
      <c r="X175" s="524">
        <f>'Saimnieciskas pamatdarbibas NP'!X109</f>
        <v>1178835.8702377884</v>
      </c>
      <c r="Y175" s="524">
        <f>'Saimnieciskas pamatdarbibas NP'!Y109</f>
        <v>1198639.4540132335</v>
      </c>
      <c r="Z175" s="524">
        <f>'Saimnieciskas pamatdarbibas NP'!Z109</f>
        <v>1218094.6140561327</v>
      </c>
      <c r="AA175" s="524">
        <f>'Saimnieciskas pamatdarbibas NP'!AA109</f>
        <v>1237898.1978315776</v>
      </c>
      <c r="AB175" s="524">
        <f>'Saimnieciskas pamatdarbibas NP'!AB109</f>
        <v>1261175.0194086567</v>
      </c>
      <c r="AC175" s="524">
        <f>'Saimnieciskas pamatdarbibas NP'!AC109</f>
        <v>1320872.9114062418</v>
      </c>
      <c r="AD175" s="524">
        <f>'Saimnieciskas pamatdarbibas NP'!AD109</f>
        <v>1441023.6832067063</v>
      </c>
      <c r="AE175" s="524">
        <f>'Saimnieciskas pamatdarbibas NP'!AE109</f>
        <v>1466383.1903763292</v>
      </c>
      <c r="AF175" s="524">
        <f>'Saimnieciskas pamatdarbibas NP'!AF109</f>
        <v>1486155.3469408534</v>
      </c>
      <c r="AG175" s="524">
        <f>'Saimnieciskas pamatdarbibas NP'!AG109</f>
        <v>1514988.0919121103</v>
      </c>
      <c r="AH175" s="524">
        <f>'Saimnieciskas pamatdarbibas NP'!AH109</f>
        <v>1543820.8368833675</v>
      </c>
      <c r="AK175" s="110"/>
      <c r="AM175" s="110"/>
      <c r="AO175" s="110"/>
      <c r="AQ175" s="110"/>
    </row>
    <row r="176" spans="1:43" x14ac:dyDescent="0.2">
      <c r="A176" s="523" t="s">
        <v>539</v>
      </c>
      <c r="B176" s="525">
        <f t="shared" ref="B176:AG176" si="97">SUM(B174:B175)</f>
        <v>1424745.3290696922</v>
      </c>
      <c r="C176" s="525">
        <f t="shared" si="97"/>
        <v>1125964.5959328248</v>
      </c>
      <c r="D176" s="525">
        <f t="shared" si="97"/>
        <v>1481772.9211327527</v>
      </c>
      <c r="E176" s="525">
        <f t="shared" si="97"/>
        <v>945292.45216343622</v>
      </c>
      <c r="F176" s="525">
        <f t="shared" si="97"/>
        <v>959019.26528996846</v>
      </c>
      <c r="G176" s="525">
        <f t="shared" si="97"/>
        <v>972786.28663478978</v>
      </c>
      <c r="H176" s="525">
        <f t="shared" si="97"/>
        <v>984948.11870242096</v>
      </c>
      <c r="I176" s="525">
        <f t="shared" si="97"/>
        <v>997108.37940950599</v>
      </c>
      <c r="J176" s="525">
        <f t="shared" si="97"/>
        <v>1013085.5875691329</v>
      </c>
      <c r="K176" s="525">
        <f t="shared" si="97"/>
        <v>1025594.2720087635</v>
      </c>
      <c r="L176" s="525">
        <f t="shared" si="97"/>
        <v>1041577.7656105745</v>
      </c>
      <c r="M176" s="525">
        <f t="shared" si="97"/>
        <v>1057212.8354798397</v>
      </c>
      <c r="N176" s="525">
        <f t="shared" si="97"/>
        <v>1066579.4208843755</v>
      </c>
      <c r="O176" s="525">
        <f t="shared" si="97"/>
        <v>1061379.7780254732</v>
      </c>
      <c r="P176" s="525">
        <f t="shared" si="97"/>
        <v>1079447.5285803741</v>
      </c>
      <c r="Q176" s="525">
        <f t="shared" si="97"/>
        <v>1096805.8607858154</v>
      </c>
      <c r="R176" s="525">
        <f t="shared" si="97"/>
        <v>1070424.652826746</v>
      </c>
      <c r="S176" s="525">
        <f t="shared" si="97"/>
        <v>1074985.58856076</v>
      </c>
      <c r="T176" s="525">
        <f t="shared" si="97"/>
        <v>1089912.8114411118</v>
      </c>
      <c r="U176" s="525">
        <f t="shared" si="97"/>
        <v>1109367.971484011</v>
      </c>
      <c r="V176" s="525">
        <f t="shared" si="97"/>
        <v>1136802.3074434474</v>
      </c>
      <c r="W176" s="525">
        <f t="shared" si="97"/>
        <v>1156605.8912188925</v>
      </c>
      <c r="X176" s="525">
        <f t="shared" si="97"/>
        <v>1178835.8702377884</v>
      </c>
      <c r="Y176" s="525">
        <f t="shared" si="97"/>
        <v>1198639.4540132335</v>
      </c>
      <c r="Z176" s="525">
        <f t="shared" si="97"/>
        <v>1218094.6140561327</v>
      </c>
      <c r="AA176" s="525">
        <f t="shared" si="97"/>
        <v>1237898.1978315776</v>
      </c>
      <c r="AB176" s="525">
        <f t="shared" si="97"/>
        <v>1261175.0194086567</v>
      </c>
      <c r="AC176" s="525">
        <f t="shared" si="97"/>
        <v>1320872.9114062418</v>
      </c>
      <c r="AD176" s="525">
        <f t="shared" si="97"/>
        <v>1441023.6832067063</v>
      </c>
      <c r="AE176" s="525">
        <f t="shared" si="97"/>
        <v>1466383.1903763292</v>
      </c>
      <c r="AF176" s="525">
        <f t="shared" si="97"/>
        <v>1486155.3469408534</v>
      </c>
      <c r="AG176" s="525">
        <f t="shared" si="97"/>
        <v>1514988.0919121103</v>
      </c>
      <c r="AH176" s="525">
        <f>SUM(AH174:AH175)</f>
        <v>1543820.8368833675</v>
      </c>
      <c r="AK176" s="110"/>
      <c r="AM176" s="110"/>
      <c r="AO176" s="110"/>
      <c r="AQ176" s="110"/>
    </row>
    <row r="177" spans="1:43" x14ac:dyDescent="0.2">
      <c r="A177" s="30" t="s">
        <v>540</v>
      </c>
      <c r="B177" s="524">
        <f>'Saimnieciskas pamatdarbibas NP'!B96</f>
        <v>627510.27759999991</v>
      </c>
      <c r="C177" s="524">
        <f>'Saimnieciskas pamatdarbibas NP'!C96</f>
        <v>590825.60441669496</v>
      </c>
      <c r="D177" s="524">
        <f>'Saimnieciskas pamatdarbibas NP'!D96</f>
        <v>608632.03075635876</v>
      </c>
      <c r="E177" s="524">
        <f>'Saimnieciskas pamatdarbibas NP'!E96</f>
        <v>621573.89387980173</v>
      </c>
      <c r="F177" s="524">
        <f>'Saimnieciskas pamatdarbibas NP'!F96</f>
        <v>634441.70055840933</v>
      </c>
      <c r="G177" s="524">
        <f>'Saimnieciskas pamatdarbibas NP'!G96</f>
        <v>647359.49452391546</v>
      </c>
      <c r="H177" s="524">
        <f>'Saimnieciskas pamatdarbibas NP'!H96</f>
        <v>658920.62549755664</v>
      </c>
      <c r="I177" s="524">
        <f>'Saimnieciskas pamatdarbibas NP'!I96</f>
        <v>670481.79647119797</v>
      </c>
      <c r="J177" s="524">
        <f>'Saimnieciskas pamatdarbibas NP'!J96</f>
        <v>682041.82744483929</v>
      </c>
      <c r="K177" s="524">
        <f>'Saimnieciskas pamatdarbibas NP'!K96</f>
        <v>693601.85841848073</v>
      </c>
      <c r="L177" s="524">
        <f>'Saimnieciskas pamatdarbibas NP'!L96</f>
        <v>708704.21216812194</v>
      </c>
      <c r="M177" s="524">
        <f>'Saimnieciskas pamatdarbibas NP'!M96</f>
        <v>723806.56591776339</v>
      </c>
      <c r="N177" s="524">
        <f>'Saimnieciskas pamatdarbibas NP'!N96</f>
        <v>738908.91966740473</v>
      </c>
      <c r="O177" s="524">
        <f>'Saimnieciskas pamatdarbibas NP'!O96</f>
        <v>756248.96612786688</v>
      </c>
      <c r="P177" s="524">
        <f>'Saimnieciskas pamatdarbibas NP'!P96</f>
        <v>773589.01258832891</v>
      </c>
      <c r="Q177" s="524">
        <f>'Saimnieciskas pamatdarbibas NP'!Q96</f>
        <v>790929.05904879095</v>
      </c>
      <c r="R177" s="524">
        <f>'Saimnieciskas pamatdarbibas NP'!R96</f>
        <v>856569.10550925275</v>
      </c>
      <c r="S177" s="524">
        <f>'Saimnieciskas pamatdarbibas NP'!S96</f>
        <v>874959.15196971479</v>
      </c>
      <c r="T177" s="524">
        <f>'Saimnieciskas pamatdarbibas NP'!T96</f>
        <v>893349.19843017682</v>
      </c>
      <c r="U177" s="524">
        <f>'Saimnieciskas pamatdarbibas NP'!U96</f>
        <v>911739.24489063886</v>
      </c>
      <c r="V177" s="524">
        <f>'Saimnieciskas pamatdarbibas NP'!V96</f>
        <v>937629.2913511009</v>
      </c>
      <c r="W177" s="524">
        <f>'Saimnieciskas pamatdarbibas NP'!W96</f>
        <v>956169.33781156293</v>
      </c>
      <c r="X177" s="524">
        <f>'Saimnieciskas pamatdarbibas NP'!X96</f>
        <v>974709.38427202508</v>
      </c>
      <c r="Y177" s="524">
        <f>'Saimnieciskas pamatdarbibas NP'!Y96</f>
        <v>993249.430732487</v>
      </c>
      <c r="Z177" s="524">
        <f>'Saimnieciskas pamatdarbibas NP'!Z96</f>
        <v>1011789.477192949</v>
      </c>
      <c r="AA177" s="524">
        <f>'Saimnieciskas pamatdarbibas NP'!AA96</f>
        <v>1030329.523653411</v>
      </c>
      <c r="AB177" s="524">
        <f>'Saimnieciskas pamatdarbibas NP'!AB96</f>
        <v>1052411.8928898731</v>
      </c>
      <c r="AC177" s="524">
        <f>'Saimnieciskas pamatdarbibas NP'!AC96</f>
        <v>1108694.2621263349</v>
      </c>
      <c r="AD177" s="524">
        <f>'Saimnieciskas pamatdarbibas NP'!AD96</f>
        <v>1213156.6313627972</v>
      </c>
      <c r="AE177" s="524">
        <f>'Saimnieciskas pamatdarbibas NP'!AE96</f>
        <v>1237249.000599259</v>
      </c>
      <c r="AF177" s="524">
        <f>'Saimnieciskas pamatdarbibas NP'!AF96</f>
        <v>1264649.0625465419</v>
      </c>
      <c r="AG177" s="524">
        <f>'Saimnieciskas pamatdarbibas NP'!AG96</f>
        <v>1292049.1244938243</v>
      </c>
      <c r="AH177" s="524">
        <f>'Saimnieciskas pamatdarbibas NP'!AH96</f>
        <v>1319449.1864411072</v>
      </c>
      <c r="AK177" s="110"/>
      <c r="AM177" s="110"/>
      <c r="AO177" s="110"/>
      <c r="AQ177" s="110"/>
    </row>
    <row r="178" spans="1:43" x14ac:dyDescent="0.2">
      <c r="A178" s="30" t="s">
        <v>479</v>
      </c>
      <c r="B178" s="524">
        <f>Aprēķini!B155</f>
        <v>591813.80000000005</v>
      </c>
      <c r="C178" s="524">
        <f>Aprēķini!C155</f>
        <v>350320.47</v>
      </c>
      <c r="D178" s="524">
        <f>Aprēķini!D155</f>
        <v>523465</v>
      </c>
      <c r="E178" s="524">
        <f>Aprēķini!E155</f>
        <v>0</v>
      </c>
      <c r="F178" s="524">
        <f>Aprēķini!F155</f>
        <v>0</v>
      </c>
      <c r="G178" s="524">
        <f>Aprēķini!G155</f>
        <v>0</v>
      </c>
      <c r="H178" s="524">
        <f>Aprēķini!H155</f>
        <v>0</v>
      </c>
      <c r="I178" s="524">
        <f>Aprēķini!I155</f>
        <v>0</v>
      </c>
      <c r="J178" s="524">
        <f>Aprēķini!J155</f>
        <v>0</v>
      </c>
      <c r="K178" s="524">
        <f>Aprēķini!K155</f>
        <v>0</v>
      </c>
      <c r="L178" s="524">
        <f>Aprēķini!L155</f>
        <v>0</v>
      </c>
      <c r="M178" s="524">
        <f>Aprēķini!M155</f>
        <v>0</v>
      </c>
      <c r="N178" s="524">
        <f>Aprēķini!N155</f>
        <v>0</v>
      </c>
      <c r="O178" s="524">
        <f>Aprēķini!O155</f>
        <v>0</v>
      </c>
      <c r="P178" s="524">
        <f>Aprēķini!P155</f>
        <v>0</v>
      </c>
      <c r="Q178" s="524">
        <f>Aprēķini!Q155</f>
        <v>0</v>
      </c>
      <c r="R178" s="524">
        <f>Aprēķini!R155</f>
        <v>0</v>
      </c>
      <c r="S178" s="524">
        <f>Aprēķini!S155</f>
        <v>0</v>
      </c>
      <c r="T178" s="524">
        <f>Aprēķini!T155</f>
        <v>0</v>
      </c>
      <c r="U178" s="524">
        <f>Aprēķini!U155</f>
        <v>0</v>
      </c>
      <c r="V178" s="524">
        <f>Aprēķini!V155</f>
        <v>0</v>
      </c>
      <c r="W178" s="524">
        <f>Aprēķini!W155</f>
        <v>0</v>
      </c>
      <c r="X178" s="524">
        <f>Aprēķini!X155</f>
        <v>0</v>
      </c>
      <c r="Y178" s="524">
        <f>Aprēķini!Y155</f>
        <v>0</v>
      </c>
      <c r="Z178" s="524">
        <f>Aprēķini!Z155</f>
        <v>0</v>
      </c>
      <c r="AA178" s="524">
        <f>Aprēķini!AA155</f>
        <v>0</v>
      </c>
      <c r="AB178" s="524">
        <f>Aprēķini!AB155</f>
        <v>0</v>
      </c>
      <c r="AC178" s="524">
        <f>Aprēķini!AC155</f>
        <v>0</v>
      </c>
      <c r="AD178" s="524">
        <f>Aprēķini!AD155</f>
        <v>0</v>
      </c>
      <c r="AE178" s="524">
        <f>Aprēķini!AE155</f>
        <v>0</v>
      </c>
      <c r="AF178" s="524">
        <f>Aprēķini!AF155</f>
        <v>0</v>
      </c>
      <c r="AG178" s="524">
        <f>Aprēķini!AG155</f>
        <v>0</v>
      </c>
      <c r="AH178" s="524">
        <f>Aprēķini!AH155</f>
        <v>0</v>
      </c>
      <c r="AK178" s="110"/>
      <c r="AM178" s="110"/>
      <c r="AO178" s="110"/>
      <c r="AQ178" s="110"/>
    </row>
    <row r="179" spans="1:43" x14ac:dyDescent="0.2">
      <c r="A179" s="30" t="s">
        <v>375</v>
      </c>
      <c r="B179" s="524">
        <f>Aprēķini!B257</f>
        <v>1242.5840000000001</v>
      </c>
      <c r="C179" s="524">
        <f>Aprēķini!C257</f>
        <v>1242.5840000000001</v>
      </c>
      <c r="D179" s="524">
        <f>Aprēķini!D257</f>
        <v>1699.9950000000001</v>
      </c>
      <c r="E179" s="524">
        <f>Aprēķini!E257</f>
        <v>2897.0786499999999</v>
      </c>
      <c r="F179" s="524">
        <f>Aprēķini!F257</f>
        <v>2857.1758616666666</v>
      </c>
      <c r="G179" s="524">
        <f>Aprēķini!G257</f>
        <v>2817.2730733333333</v>
      </c>
      <c r="H179" s="524">
        <f>Aprēķini!H257</f>
        <v>2777.3702849999995</v>
      </c>
      <c r="I179" s="524">
        <f>Aprēķini!I257</f>
        <v>2737.4674966666662</v>
      </c>
      <c r="J179" s="524">
        <f>Aprēķini!J257</f>
        <v>2697.5647083333329</v>
      </c>
      <c r="K179" s="524">
        <f>Aprēķini!K257</f>
        <v>2657.6619199999991</v>
      </c>
      <c r="L179" s="524">
        <f>Aprēķini!L257</f>
        <v>2617.7591316666658</v>
      </c>
      <c r="M179" s="524">
        <f>Aprēķini!M257</f>
        <v>2577.8563433333325</v>
      </c>
      <c r="N179" s="524">
        <f>Aprēķini!N257</f>
        <v>2537.9535549999991</v>
      </c>
      <c r="O179" s="524">
        <f>Aprēķini!O257</f>
        <v>2498.0507666666654</v>
      </c>
      <c r="P179" s="524">
        <f>Aprēķini!P257</f>
        <v>2458.147978333332</v>
      </c>
      <c r="Q179" s="524">
        <f>Aprēķini!Q257</f>
        <v>2418.2451899999987</v>
      </c>
      <c r="R179" s="524">
        <f>Aprēķini!R257</f>
        <v>2378.342401666665</v>
      </c>
      <c r="S179" s="524">
        <f>Aprēķini!S257</f>
        <v>2338.4396133333316</v>
      </c>
      <c r="T179" s="524">
        <f>Aprēķini!T257</f>
        <v>2298.5368249999983</v>
      </c>
      <c r="U179" s="524">
        <f>Aprēķini!U257</f>
        <v>2258.634036666665</v>
      </c>
      <c r="V179" s="524">
        <f>Aprēķini!V257</f>
        <v>2218.7312483333312</v>
      </c>
      <c r="W179" s="524">
        <f>Aprēķini!W257</f>
        <v>2178.8284599999979</v>
      </c>
      <c r="X179" s="524">
        <f>Aprēķini!X257</f>
        <v>2138.9256716666646</v>
      </c>
      <c r="Y179" s="524">
        <f>Aprēķini!Y257</f>
        <v>2099.0228833333308</v>
      </c>
      <c r="Z179" s="524">
        <f>Aprēķini!Z257</f>
        <v>2059.1200949999975</v>
      </c>
      <c r="AA179" s="524">
        <f>Aprēķini!AA257</f>
        <v>2019.2173066666642</v>
      </c>
      <c r="AB179" s="524">
        <f>Aprēķini!AB257</f>
        <v>1979.3145183333306</v>
      </c>
      <c r="AC179" s="524">
        <f>Aprēķini!AC257</f>
        <v>1939.4117299999973</v>
      </c>
      <c r="AD179" s="524">
        <f>Aprēķini!AD257</f>
        <v>1899.5089416666638</v>
      </c>
      <c r="AE179" s="524">
        <f>Aprēķini!AE257</f>
        <v>1859.6061533333304</v>
      </c>
      <c r="AF179" s="524">
        <f>Aprēķini!AF257</f>
        <v>1819.7033649999969</v>
      </c>
      <c r="AG179" s="524">
        <f>Aprēķini!AG257</f>
        <v>1779.8005766666633</v>
      </c>
      <c r="AH179" s="524">
        <f>Aprēķini!AH257</f>
        <v>1739.89778833333</v>
      </c>
      <c r="AK179" s="110"/>
      <c r="AM179" s="110"/>
      <c r="AO179" s="110"/>
      <c r="AQ179" s="110"/>
    </row>
    <row r="180" spans="1:43" x14ac:dyDescent="0.2">
      <c r="A180" s="30" t="s">
        <v>541</v>
      </c>
      <c r="B180" s="524">
        <f>Aprēķini!B258</f>
        <v>0</v>
      </c>
      <c r="C180" s="524">
        <f>Aprēķini!C258</f>
        <v>0</v>
      </c>
      <c r="D180" s="524">
        <f>Aprēķini!D258</f>
        <v>0</v>
      </c>
      <c r="E180" s="524">
        <f>Aprēķini!E258</f>
        <v>7980.5576666666666</v>
      </c>
      <c r="F180" s="524">
        <f>Aprēķini!F258</f>
        <v>7980.5576666666666</v>
      </c>
      <c r="G180" s="524">
        <f>Aprēķini!G258</f>
        <v>7980.5576666666666</v>
      </c>
      <c r="H180" s="524">
        <f>Aprēķini!H258</f>
        <v>7980.5576666666666</v>
      </c>
      <c r="I180" s="524">
        <f>Aprēķini!I258</f>
        <v>7980.5576666666666</v>
      </c>
      <c r="J180" s="524">
        <f>Aprēķini!J258</f>
        <v>7980.5576666666666</v>
      </c>
      <c r="K180" s="524">
        <f>Aprēķini!K258</f>
        <v>7980.5576666666666</v>
      </c>
      <c r="L180" s="524">
        <f>Aprēķini!L258</f>
        <v>7980.5576666666666</v>
      </c>
      <c r="M180" s="524">
        <f>Aprēķini!M258</f>
        <v>7980.5576666666666</v>
      </c>
      <c r="N180" s="524">
        <f>Aprēķini!N258</f>
        <v>7980.5576666666666</v>
      </c>
      <c r="O180" s="524">
        <f>Aprēķini!O258</f>
        <v>7980.5576666666666</v>
      </c>
      <c r="P180" s="524">
        <f>Aprēķini!P258</f>
        <v>7980.5576666666666</v>
      </c>
      <c r="Q180" s="524">
        <f>Aprēķini!Q258</f>
        <v>7980.5576666666666</v>
      </c>
      <c r="R180" s="524">
        <f>Aprēķini!R258</f>
        <v>7980.5576666666666</v>
      </c>
      <c r="S180" s="524">
        <f>Aprēķini!S258</f>
        <v>7980.5576666666666</v>
      </c>
      <c r="T180" s="524">
        <f>Aprēķini!T258</f>
        <v>7980.5576666666666</v>
      </c>
      <c r="U180" s="524">
        <f>Aprēķini!U258</f>
        <v>7980.5576666666666</v>
      </c>
      <c r="V180" s="524">
        <f>Aprēķini!V258</f>
        <v>7980.5576666666666</v>
      </c>
      <c r="W180" s="524">
        <f>Aprēķini!W258</f>
        <v>7980.5576666666666</v>
      </c>
      <c r="X180" s="524">
        <f>Aprēķini!X258</f>
        <v>7980.5576666666666</v>
      </c>
      <c r="Y180" s="524">
        <f>Aprēķini!Y258</f>
        <v>7980.5576666666666</v>
      </c>
      <c r="Z180" s="524">
        <f>Aprēķini!Z258</f>
        <v>7980.5576666666666</v>
      </c>
      <c r="AA180" s="524">
        <f>Aprēķini!AA258</f>
        <v>7980.5576666666666</v>
      </c>
      <c r="AB180" s="524">
        <f>Aprēķini!AB258</f>
        <v>7980.5576666666666</v>
      </c>
      <c r="AC180" s="524">
        <f>Aprēķini!AC258</f>
        <v>7980.5576666666666</v>
      </c>
      <c r="AD180" s="524">
        <f>Aprēķini!AD258</f>
        <v>7980.5576666666666</v>
      </c>
      <c r="AE180" s="524">
        <f>Aprēķini!AE258</f>
        <v>7980.5576666666666</v>
      </c>
      <c r="AF180" s="524">
        <f>Aprēķini!AF258</f>
        <v>7980.5576666666666</v>
      </c>
      <c r="AG180" s="524">
        <f>Aprēķini!AG258</f>
        <v>7980.5576666666666</v>
      </c>
      <c r="AH180" s="524">
        <f>Aprēķini!AH258</f>
        <v>7980.5576666666666</v>
      </c>
      <c r="AK180" s="110"/>
      <c r="AM180" s="110"/>
      <c r="AO180" s="110"/>
      <c r="AQ180" s="110"/>
    </row>
    <row r="181" spans="1:43" x14ac:dyDescent="0.2">
      <c r="A181" s="523" t="s">
        <v>542</v>
      </c>
      <c r="B181" s="525">
        <f t="shared" ref="B181:AH181" si="98">SUM(B177:B180)</f>
        <v>1220566.6616</v>
      </c>
      <c r="C181" s="525">
        <f t="shared" si="98"/>
        <v>942388.65841669496</v>
      </c>
      <c r="D181" s="525">
        <f t="shared" si="98"/>
        <v>1133797.0257563589</v>
      </c>
      <c r="E181" s="525">
        <f t="shared" si="98"/>
        <v>632451.53019646846</v>
      </c>
      <c r="F181" s="525">
        <f t="shared" si="98"/>
        <v>645279.43408674269</v>
      </c>
      <c r="G181" s="525">
        <f t="shared" si="98"/>
        <v>658157.32526391547</v>
      </c>
      <c r="H181" s="525">
        <f t="shared" si="98"/>
        <v>669678.55344922328</v>
      </c>
      <c r="I181" s="525">
        <f t="shared" si="98"/>
        <v>681199.82163453137</v>
      </c>
      <c r="J181" s="525">
        <f t="shared" si="98"/>
        <v>692719.94981983933</v>
      </c>
      <c r="K181" s="525">
        <f t="shared" si="98"/>
        <v>704240.0780051474</v>
      </c>
      <c r="L181" s="525">
        <f t="shared" si="98"/>
        <v>719302.52896645525</v>
      </c>
      <c r="M181" s="525">
        <f t="shared" si="98"/>
        <v>734364.97992776346</v>
      </c>
      <c r="N181" s="525">
        <f t="shared" si="98"/>
        <v>749427.43088907143</v>
      </c>
      <c r="O181" s="525">
        <f t="shared" si="98"/>
        <v>766727.57456120022</v>
      </c>
      <c r="P181" s="525">
        <f t="shared" si="98"/>
        <v>784027.71823332889</v>
      </c>
      <c r="Q181" s="525">
        <f t="shared" si="98"/>
        <v>801327.86190545768</v>
      </c>
      <c r="R181" s="525">
        <f t="shared" si="98"/>
        <v>866928.00557758613</v>
      </c>
      <c r="S181" s="525">
        <f t="shared" si="98"/>
        <v>885278.1492497148</v>
      </c>
      <c r="T181" s="525">
        <f t="shared" si="98"/>
        <v>903628.29292184347</v>
      </c>
      <c r="U181" s="525">
        <f t="shared" si="98"/>
        <v>921978.43659397226</v>
      </c>
      <c r="V181" s="525">
        <f t="shared" si="98"/>
        <v>947828.58026610094</v>
      </c>
      <c r="W181" s="525">
        <f t="shared" si="98"/>
        <v>966328.72393822961</v>
      </c>
      <c r="X181" s="525">
        <f t="shared" si="98"/>
        <v>984828.8676103584</v>
      </c>
      <c r="Y181" s="525">
        <f t="shared" si="98"/>
        <v>1003329.0112824871</v>
      </c>
      <c r="Z181" s="525">
        <f t="shared" si="98"/>
        <v>1021829.1549546157</v>
      </c>
      <c r="AA181" s="525">
        <f t="shared" si="98"/>
        <v>1040329.2986267443</v>
      </c>
      <c r="AB181" s="525">
        <f t="shared" si="98"/>
        <v>1062371.7650748731</v>
      </c>
      <c r="AC181" s="525">
        <f t="shared" si="98"/>
        <v>1118614.2315230016</v>
      </c>
      <c r="AD181" s="525">
        <f t="shared" si="98"/>
        <v>1223036.6979711305</v>
      </c>
      <c r="AE181" s="525">
        <f t="shared" si="98"/>
        <v>1247089.1644192589</v>
      </c>
      <c r="AF181" s="525">
        <f t="shared" si="98"/>
        <v>1274449.3235782085</v>
      </c>
      <c r="AG181" s="525">
        <f t="shared" si="98"/>
        <v>1301809.4827371575</v>
      </c>
      <c r="AH181" s="525">
        <f t="shared" si="98"/>
        <v>1329169.641896107</v>
      </c>
      <c r="AK181" s="110"/>
      <c r="AM181" s="110"/>
      <c r="AO181" s="110"/>
      <c r="AQ181" s="110"/>
    </row>
    <row r="182" spans="1:43" x14ac:dyDescent="0.2">
      <c r="A182" s="523" t="s">
        <v>543</v>
      </c>
      <c r="B182" s="525">
        <f t="shared" ref="B182:AH182" si="99">B176-B181</f>
        <v>204178.66746969218</v>
      </c>
      <c r="C182" s="525">
        <f t="shared" si="99"/>
        <v>183575.93751612981</v>
      </c>
      <c r="D182" s="525">
        <f t="shared" si="99"/>
        <v>347975.8953763938</v>
      </c>
      <c r="E182" s="525">
        <f t="shared" si="99"/>
        <v>312840.92196696775</v>
      </c>
      <c r="F182" s="525">
        <f t="shared" si="99"/>
        <v>313739.83120322577</v>
      </c>
      <c r="G182" s="525">
        <f t="shared" si="99"/>
        <v>314628.96137087431</v>
      </c>
      <c r="H182" s="525">
        <f t="shared" si="99"/>
        <v>315269.56525319768</v>
      </c>
      <c r="I182" s="525">
        <f t="shared" si="99"/>
        <v>315908.55777497462</v>
      </c>
      <c r="J182" s="525">
        <f t="shared" si="99"/>
        <v>320365.63774929359</v>
      </c>
      <c r="K182" s="525">
        <f t="shared" si="99"/>
        <v>321354.19400361611</v>
      </c>
      <c r="L182" s="525">
        <f t="shared" si="99"/>
        <v>322275.23664411926</v>
      </c>
      <c r="M182" s="525">
        <f t="shared" si="99"/>
        <v>322847.85555207625</v>
      </c>
      <c r="N182" s="525">
        <f t="shared" si="99"/>
        <v>317151.98999530403</v>
      </c>
      <c r="O182" s="525">
        <f t="shared" si="99"/>
        <v>294652.20346427301</v>
      </c>
      <c r="P182" s="525">
        <f t="shared" si="99"/>
        <v>295419.81034704519</v>
      </c>
      <c r="Q182" s="525">
        <f t="shared" si="99"/>
        <v>295477.99888035771</v>
      </c>
      <c r="R182" s="525">
        <f t="shared" si="99"/>
        <v>203496.64724915987</v>
      </c>
      <c r="S182" s="525">
        <f t="shared" si="99"/>
        <v>189707.43931104522</v>
      </c>
      <c r="T182" s="525">
        <f t="shared" si="99"/>
        <v>186284.51851926837</v>
      </c>
      <c r="U182" s="525">
        <f t="shared" si="99"/>
        <v>187389.53489003878</v>
      </c>
      <c r="V182" s="525">
        <f t="shared" si="99"/>
        <v>188973.72717734647</v>
      </c>
      <c r="W182" s="525">
        <f t="shared" si="99"/>
        <v>190277.16728066292</v>
      </c>
      <c r="X182" s="525">
        <f t="shared" si="99"/>
        <v>194007.00262743002</v>
      </c>
      <c r="Y182" s="525">
        <f t="shared" si="99"/>
        <v>195310.44273074646</v>
      </c>
      <c r="Z182" s="525">
        <f t="shared" si="99"/>
        <v>196265.45910151699</v>
      </c>
      <c r="AA182" s="525">
        <f t="shared" si="99"/>
        <v>197568.89920483332</v>
      </c>
      <c r="AB182" s="525">
        <f t="shared" si="99"/>
        <v>198803.25433378364</v>
      </c>
      <c r="AC182" s="525">
        <f t="shared" si="99"/>
        <v>202258.67988324026</v>
      </c>
      <c r="AD182" s="525">
        <f t="shared" si="99"/>
        <v>217986.98523557582</v>
      </c>
      <c r="AE182" s="525">
        <f t="shared" si="99"/>
        <v>219294.02595707029</v>
      </c>
      <c r="AF182" s="525">
        <f t="shared" si="99"/>
        <v>211706.02336264495</v>
      </c>
      <c r="AG182" s="525">
        <f t="shared" si="99"/>
        <v>213178.60917495284</v>
      </c>
      <c r="AH182" s="525">
        <f t="shared" si="99"/>
        <v>214651.1949872605</v>
      </c>
      <c r="AK182" s="110"/>
      <c r="AM182" s="110"/>
      <c r="AO182" s="110"/>
      <c r="AQ182" s="110"/>
    </row>
    <row r="183" spans="1:43" ht="25.5" x14ac:dyDescent="0.2">
      <c r="A183" s="523" t="s">
        <v>544</v>
      </c>
      <c r="B183" s="525">
        <f t="shared" ref="B183:AG183" si="100">IF(B182&gt;=0,0,-B182)</f>
        <v>0</v>
      </c>
      <c r="C183" s="525">
        <f t="shared" si="100"/>
        <v>0</v>
      </c>
      <c r="D183" s="525">
        <f t="shared" si="100"/>
        <v>0</v>
      </c>
      <c r="E183" s="525">
        <f t="shared" si="100"/>
        <v>0</v>
      </c>
      <c r="F183" s="525">
        <f t="shared" si="100"/>
        <v>0</v>
      </c>
      <c r="G183" s="525">
        <f t="shared" si="100"/>
        <v>0</v>
      </c>
      <c r="H183" s="525">
        <f t="shared" si="100"/>
        <v>0</v>
      </c>
      <c r="I183" s="525">
        <f t="shared" si="100"/>
        <v>0</v>
      </c>
      <c r="J183" s="525">
        <f t="shared" si="100"/>
        <v>0</v>
      </c>
      <c r="K183" s="525">
        <f t="shared" si="100"/>
        <v>0</v>
      </c>
      <c r="L183" s="525">
        <f t="shared" si="100"/>
        <v>0</v>
      </c>
      <c r="M183" s="525">
        <f t="shared" si="100"/>
        <v>0</v>
      </c>
      <c r="N183" s="525">
        <f t="shared" si="100"/>
        <v>0</v>
      </c>
      <c r="O183" s="525">
        <f t="shared" si="100"/>
        <v>0</v>
      </c>
      <c r="P183" s="525">
        <f t="shared" si="100"/>
        <v>0</v>
      </c>
      <c r="Q183" s="525">
        <f t="shared" si="100"/>
        <v>0</v>
      </c>
      <c r="R183" s="525">
        <f t="shared" si="100"/>
        <v>0</v>
      </c>
      <c r="S183" s="525">
        <f t="shared" si="100"/>
        <v>0</v>
      </c>
      <c r="T183" s="525">
        <f t="shared" si="100"/>
        <v>0</v>
      </c>
      <c r="U183" s="525">
        <f t="shared" si="100"/>
        <v>0</v>
      </c>
      <c r="V183" s="525">
        <f t="shared" si="100"/>
        <v>0</v>
      </c>
      <c r="W183" s="525">
        <f t="shared" si="100"/>
        <v>0</v>
      </c>
      <c r="X183" s="525">
        <f t="shared" si="100"/>
        <v>0</v>
      </c>
      <c r="Y183" s="525">
        <f t="shared" si="100"/>
        <v>0</v>
      </c>
      <c r="Z183" s="525">
        <f t="shared" si="100"/>
        <v>0</v>
      </c>
      <c r="AA183" s="525">
        <f t="shared" si="100"/>
        <v>0</v>
      </c>
      <c r="AB183" s="525">
        <f t="shared" si="100"/>
        <v>0</v>
      </c>
      <c r="AC183" s="525">
        <f t="shared" si="100"/>
        <v>0</v>
      </c>
      <c r="AD183" s="525">
        <f t="shared" si="100"/>
        <v>0</v>
      </c>
      <c r="AE183" s="525">
        <f t="shared" si="100"/>
        <v>0</v>
      </c>
      <c r="AF183" s="525">
        <f t="shared" si="100"/>
        <v>0</v>
      </c>
      <c r="AG183" s="525">
        <f t="shared" si="100"/>
        <v>0</v>
      </c>
      <c r="AH183" s="525">
        <f>IF(AH182&gt;=0,0,-AH182)</f>
        <v>0</v>
      </c>
      <c r="AK183" s="110"/>
      <c r="AM183" s="110"/>
      <c r="AO183" s="110"/>
      <c r="AQ183" s="110"/>
    </row>
    <row r="184" spans="1:43" x14ac:dyDescent="0.2">
      <c r="A184" s="523" t="s">
        <v>545</v>
      </c>
      <c r="B184" s="525">
        <f>B182</f>
        <v>204178.66746969218</v>
      </c>
      <c r="C184" s="525">
        <f t="shared" ref="C184:AG184" si="101">B184+C182+C183</f>
        <v>387754.60498582199</v>
      </c>
      <c r="D184" s="525">
        <f t="shared" si="101"/>
        <v>735730.5003622158</v>
      </c>
      <c r="E184" s="525">
        <f t="shared" si="101"/>
        <v>1048571.4223291836</v>
      </c>
      <c r="F184" s="525">
        <f t="shared" si="101"/>
        <v>1362311.2535324092</v>
      </c>
      <c r="G184" s="525">
        <f t="shared" si="101"/>
        <v>1676940.2149032834</v>
      </c>
      <c r="H184" s="525">
        <f t="shared" si="101"/>
        <v>1992209.7801564811</v>
      </c>
      <c r="I184" s="525">
        <f t="shared" si="101"/>
        <v>2308118.3379314556</v>
      </c>
      <c r="J184" s="525">
        <f t="shared" si="101"/>
        <v>2628483.9756807489</v>
      </c>
      <c r="K184" s="525">
        <f t="shared" si="101"/>
        <v>2949838.1696843649</v>
      </c>
      <c r="L184" s="525">
        <f t="shared" si="101"/>
        <v>3272113.4063284844</v>
      </c>
      <c r="M184" s="525">
        <f t="shared" si="101"/>
        <v>3594961.2618805608</v>
      </c>
      <c r="N184" s="525">
        <f t="shared" si="101"/>
        <v>3912113.2518758648</v>
      </c>
      <c r="O184" s="525">
        <f t="shared" si="101"/>
        <v>4206765.4553401377</v>
      </c>
      <c r="P184" s="525">
        <f t="shared" si="101"/>
        <v>4502185.2656871825</v>
      </c>
      <c r="Q184" s="525">
        <f t="shared" si="101"/>
        <v>4797663.26456754</v>
      </c>
      <c r="R184" s="525">
        <f t="shared" si="101"/>
        <v>5001159.9118166994</v>
      </c>
      <c r="S184" s="525">
        <f t="shared" si="101"/>
        <v>5190867.3511277447</v>
      </c>
      <c r="T184" s="525">
        <f t="shared" si="101"/>
        <v>5377151.869647013</v>
      </c>
      <c r="U184" s="525">
        <f t="shared" si="101"/>
        <v>5564541.4045370519</v>
      </c>
      <c r="V184" s="525">
        <f t="shared" si="101"/>
        <v>5753515.131714398</v>
      </c>
      <c r="W184" s="525">
        <f t="shared" si="101"/>
        <v>5943792.2989950608</v>
      </c>
      <c r="X184" s="525">
        <f t="shared" si="101"/>
        <v>6137799.3016224913</v>
      </c>
      <c r="Y184" s="525">
        <f t="shared" si="101"/>
        <v>6333109.7443532376</v>
      </c>
      <c r="Z184" s="525">
        <f t="shared" si="101"/>
        <v>6529375.2034547543</v>
      </c>
      <c r="AA184" s="525">
        <f t="shared" si="101"/>
        <v>6726944.1026595877</v>
      </c>
      <c r="AB184" s="525">
        <f t="shared" si="101"/>
        <v>6925747.3569933716</v>
      </c>
      <c r="AC184" s="525">
        <f t="shared" si="101"/>
        <v>7128006.0368766114</v>
      </c>
      <c r="AD184" s="525">
        <f t="shared" si="101"/>
        <v>7345993.022112187</v>
      </c>
      <c r="AE184" s="525">
        <f t="shared" si="101"/>
        <v>7565287.0480692573</v>
      </c>
      <c r="AF184" s="525">
        <f t="shared" si="101"/>
        <v>7776993.0714319022</v>
      </c>
      <c r="AG184" s="525">
        <f t="shared" si="101"/>
        <v>7990171.6806068551</v>
      </c>
      <c r="AH184" s="525">
        <f>AG184+AH182+AH183</f>
        <v>8204822.8755941158</v>
      </c>
      <c r="AK184" s="110"/>
      <c r="AM184" s="110"/>
      <c r="AO184" s="110"/>
      <c r="AQ184" s="110"/>
    </row>
    <row r="185" spans="1:43" x14ac:dyDescent="0.2">
      <c r="AK185" s="110"/>
      <c r="AM185" s="110"/>
      <c r="AO185" s="110"/>
      <c r="AQ185" s="110"/>
    </row>
    <row r="186" spans="1:43" ht="15" x14ac:dyDescent="0.2">
      <c r="A186" s="428" t="s">
        <v>546</v>
      </c>
      <c r="AK186" s="110"/>
      <c r="AM186" s="110"/>
      <c r="AO186" s="110"/>
      <c r="AQ186" s="110"/>
    </row>
    <row r="187" spans="1:43" ht="14.25" customHeight="1" x14ac:dyDescent="0.2">
      <c r="A187" s="30"/>
      <c r="B187" s="522">
        <f>Aprēķini!B6</f>
        <v>2017</v>
      </c>
      <c r="C187" s="522">
        <f t="shared" ref="C187:AG187" si="102">B187+1</f>
        <v>2018</v>
      </c>
      <c r="D187" s="522">
        <f t="shared" si="102"/>
        <v>2019</v>
      </c>
      <c r="E187" s="522">
        <f t="shared" si="102"/>
        <v>2020</v>
      </c>
      <c r="F187" s="522">
        <f t="shared" si="102"/>
        <v>2021</v>
      </c>
      <c r="G187" s="522">
        <f t="shared" si="102"/>
        <v>2022</v>
      </c>
      <c r="H187" s="522">
        <f t="shared" si="102"/>
        <v>2023</v>
      </c>
      <c r="I187" s="522">
        <f t="shared" si="102"/>
        <v>2024</v>
      </c>
      <c r="J187" s="522">
        <f t="shared" si="102"/>
        <v>2025</v>
      </c>
      <c r="K187" s="522">
        <f t="shared" si="102"/>
        <v>2026</v>
      </c>
      <c r="L187" s="522">
        <f t="shared" si="102"/>
        <v>2027</v>
      </c>
      <c r="M187" s="522">
        <f t="shared" si="102"/>
        <v>2028</v>
      </c>
      <c r="N187" s="522">
        <f t="shared" si="102"/>
        <v>2029</v>
      </c>
      <c r="O187" s="522">
        <f t="shared" si="102"/>
        <v>2030</v>
      </c>
      <c r="P187" s="522">
        <f t="shared" si="102"/>
        <v>2031</v>
      </c>
      <c r="Q187" s="522">
        <f t="shared" si="102"/>
        <v>2032</v>
      </c>
      <c r="R187" s="522">
        <f t="shared" si="102"/>
        <v>2033</v>
      </c>
      <c r="S187" s="522">
        <f t="shared" si="102"/>
        <v>2034</v>
      </c>
      <c r="T187" s="522">
        <f t="shared" si="102"/>
        <v>2035</v>
      </c>
      <c r="U187" s="522">
        <f t="shared" si="102"/>
        <v>2036</v>
      </c>
      <c r="V187" s="522">
        <f t="shared" si="102"/>
        <v>2037</v>
      </c>
      <c r="W187" s="522">
        <f t="shared" si="102"/>
        <v>2038</v>
      </c>
      <c r="X187" s="522">
        <f t="shared" si="102"/>
        <v>2039</v>
      </c>
      <c r="Y187" s="522">
        <f t="shared" si="102"/>
        <v>2040</v>
      </c>
      <c r="Z187" s="522">
        <f t="shared" si="102"/>
        <v>2041</v>
      </c>
      <c r="AA187" s="522">
        <f t="shared" si="102"/>
        <v>2042</v>
      </c>
      <c r="AB187" s="522">
        <f t="shared" si="102"/>
        <v>2043</v>
      </c>
      <c r="AC187" s="522">
        <f t="shared" si="102"/>
        <v>2044</v>
      </c>
      <c r="AD187" s="522">
        <f t="shared" si="102"/>
        <v>2045</v>
      </c>
      <c r="AE187" s="522">
        <f t="shared" si="102"/>
        <v>2046</v>
      </c>
      <c r="AF187" s="522">
        <f t="shared" si="102"/>
        <v>2047</v>
      </c>
      <c r="AG187" s="522">
        <f t="shared" si="102"/>
        <v>2048</v>
      </c>
      <c r="AH187" s="522">
        <f>AG187+1</f>
        <v>2049</v>
      </c>
      <c r="AK187" s="110"/>
      <c r="AM187" s="110"/>
      <c r="AO187" s="110"/>
      <c r="AQ187" s="110"/>
    </row>
    <row r="188" spans="1:43" ht="14.25" customHeight="1" x14ac:dyDescent="0.2">
      <c r="A188" s="30" t="s">
        <v>538</v>
      </c>
      <c r="B188" s="524">
        <f>'Saimnieciskas pamatdarbibas NP'!B191</f>
        <v>0</v>
      </c>
      <c r="C188" s="524">
        <f>'Saimnieciskas pamatdarbibas NP'!C191</f>
        <v>0</v>
      </c>
      <c r="D188" s="524">
        <f>'Saimnieciskas pamatdarbibas NP'!D191</f>
        <v>3467.9304599321404</v>
      </c>
      <c r="E188" s="524">
        <f>'Saimnieciskas pamatdarbibas NP'!E191</f>
        <v>20731.682867371223</v>
      </c>
      <c r="F188" s="524">
        <f>'Saimnieciskas pamatdarbibas NP'!F191</f>
        <v>21350.629270881578</v>
      </c>
      <c r="G188" s="524">
        <f>'Saimnieciskas pamatdarbibas NP'!G191</f>
        <v>22571.896527294419</v>
      </c>
      <c r="H188" s="524">
        <f>'Saimnieciskas pamatdarbibas NP'!H191</f>
        <v>22551.689622159305</v>
      </c>
      <c r="I188" s="524">
        <f>'Saimnieciskas pamatdarbibas NP'!I191</f>
        <v>22203.265889613609</v>
      </c>
      <c r="J188" s="524">
        <f>'Saimnieciskas pamatdarbibas NP'!J191</f>
        <v>26367.065714155149</v>
      </c>
      <c r="K188" s="524">
        <f>'Saimnieciskas pamatdarbibas NP'!K191</f>
        <v>26713.918086154641</v>
      </c>
      <c r="L188" s="524">
        <f>'Saimnieciskas pamatdarbibas NP'!L191</f>
        <v>28795.032318152407</v>
      </c>
      <c r="M188" s="524">
        <f>'Saimnieciskas pamatdarbibas NP'!M191</f>
        <v>31222.99892214968</v>
      </c>
      <c r="N188" s="524">
        <f>'Saimnieciskas pamatdarbibas NP'!N191</f>
        <v>33302.541793601224</v>
      </c>
      <c r="O188" s="524">
        <f>'Saimnieciskas pamatdarbibas NP'!O191</f>
        <v>28446.608585606566</v>
      </c>
      <c r="P188" s="524">
        <f>'Saimnieciskas pamatdarbibas NP'!P191</f>
        <v>28446.608585606653</v>
      </c>
      <c r="Q188" s="524">
        <f>'Saimnieciskas pamatdarbibas NP'!Q191</f>
        <v>31221.427561603708</v>
      </c>
      <c r="R188" s="524">
        <f>'Saimnieciskas pamatdarbibas NP'!R191</f>
        <v>3446.5246723517521</v>
      </c>
      <c r="S188" s="524">
        <f>'Saimnieciskas pamatdarbibas NP'!S191</f>
        <v>7280.7570908999041</v>
      </c>
      <c r="T188" s="524">
        <f>'Saimnieciskas pamatdarbibas NP'!T191</f>
        <v>2057.543823807242</v>
      </c>
      <c r="U188" s="524">
        <f>'Saimnieciskas pamatdarbibas NP'!U191</f>
        <v>1710.6914518076628</v>
      </c>
      <c r="V188" s="524">
        <f>'Saimnieciskas pamatdarbibas NP'!V191</f>
        <v>-6613.7654761832891</v>
      </c>
      <c r="W188" s="524">
        <f>'Saimnieciskas pamatdarbibas NP'!W191</f>
        <v>-7307.4702201825057</v>
      </c>
      <c r="X188" s="524">
        <f>'Saimnieciskas pamatdarbibas NP'!X191</f>
        <v>-5227.9273487309219</v>
      </c>
      <c r="Y188" s="524">
        <f>'Saimnieciskas pamatdarbibas NP'!Y191</f>
        <v>-5921.6320927298948</v>
      </c>
      <c r="Z188" s="524">
        <f>'Saimnieciskas pamatdarbibas NP'!Z191</f>
        <v>-6963.7605692748475</v>
      </c>
      <c r="AA188" s="524">
        <f>'Saimnieciskas pamatdarbibas NP'!AA191</f>
        <v>-7310.6129412745722</v>
      </c>
      <c r="AB188" s="524">
        <f>'Saimnieciskas pamatdarbibas NP'!AB191</f>
        <v>-5924.7748138220632</v>
      </c>
      <c r="AC188" s="524">
        <f>'Saimnieciskas pamatdarbibas NP'!AC191</f>
        <v>32230.557466681857</v>
      </c>
      <c r="AD188" s="524">
        <f>'Saimnieciskas pamatdarbibas NP'!AD191</f>
        <v>130837.19818951932</v>
      </c>
      <c r="AE188" s="524">
        <f>'Saimnieciskas pamatdarbibas NP'!AE191</f>
        <v>134305.72190951562</v>
      </c>
      <c r="AF188" s="524">
        <f>'Saimnieciskas pamatdarbibas NP'!AF191</f>
        <v>126979.39536278057</v>
      </c>
      <c r="AG188" s="524">
        <f>'Saimnieciskas pamatdarbibas NP'!AG191</f>
        <v>128713.6572227787</v>
      </c>
      <c r="AH188" s="524">
        <f>'Saimnieciskas pamatdarbibas NP'!AH191</f>
        <v>130447.9190827767</v>
      </c>
      <c r="AK188" s="110"/>
      <c r="AM188" s="110"/>
      <c r="AO188" s="110"/>
      <c r="AQ188" s="110"/>
    </row>
    <row r="189" spans="1:43" ht="14.25" customHeight="1" x14ac:dyDescent="0.2">
      <c r="A189" s="30" t="s">
        <v>547</v>
      </c>
      <c r="B189" s="524">
        <f t="shared" ref="B189:AH189" si="103">B124</f>
        <v>0</v>
      </c>
      <c r="C189" s="524">
        <f t="shared" si="103"/>
        <v>0</v>
      </c>
      <c r="D189" s="524">
        <f t="shared" si="103"/>
        <v>0</v>
      </c>
      <c r="E189" s="524">
        <f t="shared" si="103"/>
        <v>0</v>
      </c>
      <c r="F189" s="524">
        <f t="shared" si="103"/>
        <v>0</v>
      </c>
      <c r="G189" s="524">
        <f t="shared" si="103"/>
        <v>0</v>
      </c>
      <c r="H189" s="524">
        <f t="shared" si="103"/>
        <v>0</v>
      </c>
      <c r="I189" s="524">
        <f t="shared" si="103"/>
        <v>0</v>
      </c>
      <c r="J189" s="524">
        <f t="shared" si="103"/>
        <v>0</v>
      </c>
      <c r="K189" s="524">
        <f t="shared" si="103"/>
        <v>0</v>
      </c>
      <c r="L189" s="524">
        <f t="shared" si="103"/>
        <v>0</v>
      </c>
      <c r="M189" s="524">
        <f t="shared" si="103"/>
        <v>0</v>
      </c>
      <c r="N189" s="524">
        <f t="shared" si="103"/>
        <v>0</v>
      </c>
      <c r="O189" s="524">
        <f t="shared" si="103"/>
        <v>0</v>
      </c>
      <c r="P189" s="524">
        <f t="shared" si="103"/>
        <v>0</v>
      </c>
      <c r="Q189" s="524">
        <f t="shared" si="103"/>
        <v>0</v>
      </c>
      <c r="R189" s="524">
        <f t="shared" si="103"/>
        <v>0</v>
      </c>
      <c r="S189" s="524">
        <f t="shared" si="103"/>
        <v>0</v>
      </c>
      <c r="T189" s="524">
        <f t="shared" si="103"/>
        <v>0</v>
      </c>
      <c r="U189" s="524">
        <f t="shared" si="103"/>
        <v>0</v>
      </c>
      <c r="V189" s="524">
        <f t="shared" si="103"/>
        <v>0</v>
      </c>
      <c r="W189" s="524">
        <f t="shared" si="103"/>
        <v>0</v>
      </c>
      <c r="X189" s="524">
        <f t="shared" si="103"/>
        <v>0</v>
      </c>
      <c r="Y189" s="524">
        <f t="shared" si="103"/>
        <v>0</v>
      </c>
      <c r="Z189" s="524">
        <f t="shared" si="103"/>
        <v>0</v>
      </c>
      <c r="AA189" s="524">
        <f t="shared" si="103"/>
        <v>0</v>
      </c>
      <c r="AB189" s="524">
        <f t="shared" si="103"/>
        <v>0</v>
      </c>
      <c r="AC189" s="524">
        <f t="shared" si="103"/>
        <v>0</v>
      </c>
      <c r="AD189" s="524">
        <f t="shared" si="103"/>
        <v>0</v>
      </c>
      <c r="AE189" s="524">
        <f t="shared" si="103"/>
        <v>0</v>
      </c>
      <c r="AF189" s="524">
        <f t="shared" si="103"/>
        <v>0</v>
      </c>
      <c r="AG189" s="524">
        <f t="shared" si="103"/>
        <v>548639</v>
      </c>
      <c r="AH189" s="524">
        <f t="shared" si="103"/>
        <v>0</v>
      </c>
      <c r="AK189" s="110"/>
      <c r="AM189" s="110"/>
      <c r="AO189" s="110"/>
      <c r="AQ189" s="110"/>
    </row>
    <row r="190" spans="1:43" x14ac:dyDescent="0.2">
      <c r="A190" s="523" t="s">
        <v>548</v>
      </c>
      <c r="B190" s="525">
        <f>SUM(B188:B189)</f>
        <v>0</v>
      </c>
      <c r="C190" s="525">
        <f t="shared" ref="C190:AH190" si="104">SUM(C188:C189)</f>
        <v>0</v>
      </c>
      <c r="D190" s="525">
        <f t="shared" si="104"/>
        <v>3467.9304599321404</v>
      </c>
      <c r="E190" s="525">
        <f t="shared" si="104"/>
        <v>20731.682867371223</v>
      </c>
      <c r="F190" s="525">
        <f t="shared" si="104"/>
        <v>21350.629270881578</v>
      </c>
      <c r="G190" s="525">
        <f t="shared" si="104"/>
        <v>22571.896527294419</v>
      </c>
      <c r="H190" s="525">
        <f t="shared" si="104"/>
        <v>22551.689622159305</v>
      </c>
      <c r="I190" s="525">
        <f t="shared" si="104"/>
        <v>22203.265889613609</v>
      </c>
      <c r="J190" s="525">
        <f t="shared" si="104"/>
        <v>26367.065714155149</v>
      </c>
      <c r="K190" s="525">
        <f t="shared" si="104"/>
        <v>26713.918086154641</v>
      </c>
      <c r="L190" s="525">
        <f t="shared" si="104"/>
        <v>28795.032318152407</v>
      </c>
      <c r="M190" s="525">
        <f t="shared" si="104"/>
        <v>31222.99892214968</v>
      </c>
      <c r="N190" s="525">
        <f t="shared" si="104"/>
        <v>33302.541793601224</v>
      </c>
      <c r="O190" s="525">
        <f t="shared" si="104"/>
        <v>28446.608585606566</v>
      </c>
      <c r="P190" s="525">
        <f t="shared" si="104"/>
        <v>28446.608585606653</v>
      </c>
      <c r="Q190" s="525">
        <f t="shared" si="104"/>
        <v>31221.427561603708</v>
      </c>
      <c r="R190" s="525">
        <f t="shared" si="104"/>
        <v>3446.5246723517521</v>
      </c>
      <c r="S190" s="525">
        <f t="shared" si="104"/>
        <v>7280.7570908999041</v>
      </c>
      <c r="T190" s="525">
        <f t="shared" si="104"/>
        <v>2057.543823807242</v>
      </c>
      <c r="U190" s="525">
        <f t="shared" si="104"/>
        <v>1710.6914518076628</v>
      </c>
      <c r="V190" s="525">
        <f t="shared" si="104"/>
        <v>-6613.7654761832891</v>
      </c>
      <c r="W190" s="525">
        <f t="shared" si="104"/>
        <v>-7307.4702201825057</v>
      </c>
      <c r="X190" s="525">
        <f t="shared" si="104"/>
        <v>-5227.9273487309219</v>
      </c>
      <c r="Y190" s="525">
        <f t="shared" si="104"/>
        <v>-5921.6320927298948</v>
      </c>
      <c r="Z190" s="525">
        <f t="shared" si="104"/>
        <v>-6963.7605692748475</v>
      </c>
      <c r="AA190" s="525">
        <f t="shared" si="104"/>
        <v>-7310.6129412745722</v>
      </c>
      <c r="AB190" s="525">
        <f t="shared" si="104"/>
        <v>-5924.7748138220632</v>
      </c>
      <c r="AC190" s="525">
        <f t="shared" si="104"/>
        <v>32230.557466681857</v>
      </c>
      <c r="AD190" s="525">
        <f t="shared" si="104"/>
        <v>130837.19818951932</v>
      </c>
      <c r="AE190" s="525">
        <f t="shared" si="104"/>
        <v>134305.72190951562</v>
      </c>
      <c r="AF190" s="525">
        <f t="shared" si="104"/>
        <v>126979.39536278057</v>
      </c>
      <c r="AG190" s="525">
        <f t="shared" si="104"/>
        <v>677352.65722277865</v>
      </c>
      <c r="AH190" s="525">
        <f t="shared" si="104"/>
        <v>130447.9190827767</v>
      </c>
      <c r="AK190" s="110"/>
      <c r="AM190" s="110"/>
      <c r="AO190" s="110"/>
      <c r="AQ190" s="110"/>
    </row>
    <row r="191" spans="1:43" x14ac:dyDescent="0.2">
      <c r="A191" s="30" t="s">
        <v>549</v>
      </c>
      <c r="B191" s="524">
        <f>'Saimnieciskas pamatdarbibas NP'!B178</f>
        <v>0</v>
      </c>
      <c r="C191" s="524">
        <f>'Saimnieciskas pamatdarbibas NP'!C178</f>
        <v>400.19395739687025</v>
      </c>
      <c r="D191" s="524">
        <f>'Saimnieciskas pamatdarbibas NP'!D178</f>
        <v>573.10452628112398</v>
      </c>
      <c r="E191" s="524">
        <f>'Saimnieciskas pamatdarbibas NP'!E178</f>
        <v>1484.5089233697508</v>
      </c>
      <c r="F191" s="524">
        <f>'Saimnieciskas pamatdarbibas NP'!F178</f>
        <v>2264.0810409458063</v>
      </c>
      <c r="G191" s="524">
        <f>'Saimnieciskas pamatdarbibas NP'!G178</f>
        <v>3067.0284538077249</v>
      </c>
      <c r="H191" s="524">
        <f>'Saimnieciskas pamatdarbibas NP'!H178</f>
        <v>3122.9368190543028</v>
      </c>
      <c r="I191" s="524">
        <f>'Saimnieciskas pamatdarbibas NP'!I178</f>
        <v>3178.8851843008597</v>
      </c>
      <c r="J191" s="524">
        <f>'Saimnieciskas pamatdarbibas NP'!J178</f>
        <v>3233.6935495474609</v>
      </c>
      <c r="K191" s="524">
        <f>'Saimnieciskas pamatdarbibas NP'!K178</f>
        <v>3288.5019147940329</v>
      </c>
      <c r="L191" s="524">
        <f>'Saimnieciskas pamatdarbibas NP'!L178</f>
        <v>5554.9291230405361</v>
      </c>
      <c r="M191" s="524">
        <f>'Saimnieciskas pamatdarbibas NP'!M178</f>
        <v>7821.3563312871484</v>
      </c>
      <c r="N191" s="524">
        <f>'Saimnieciskas pamatdarbibas NP'!N178</f>
        <v>10087.783539533724</v>
      </c>
      <c r="O191" s="524">
        <f>'Saimnieciskas pamatdarbibas NP'!O178</f>
        <v>10169.996087403517</v>
      </c>
      <c r="P191" s="524">
        <f>'Saimnieciskas pamatdarbibas NP'!P178</f>
        <v>10252.208635273462</v>
      </c>
      <c r="Q191" s="524">
        <f>'Saimnieciskas pamatdarbibas NP'!Q178</f>
        <v>10334.421183143313</v>
      </c>
      <c r="R191" s="524">
        <f>'Saimnieciskas pamatdarbibas NP'!R178</f>
        <v>-15803.36626898688</v>
      </c>
      <c r="S191" s="524">
        <f>'Saimnieciskas pamatdarbibas NP'!S178</f>
        <v>-16291.153721117014</v>
      </c>
      <c r="T191" s="524">
        <f>'Saimnieciskas pamatdarbibas NP'!T178</f>
        <v>-16778.941173247105</v>
      </c>
      <c r="U191" s="524">
        <f>'Saimnieciskas pamatdarbibas NP'!U178</f>
        <v>-17266.728625377335</v>
      </c>
      <c r="V191" s="524">
        <f>'Saimnieciskas pamatdarbibas NP'!V178</f>
        <v>-25254.51607750744</v>
      </c>
      <c r="W191" s="524">
        <f>'Saimnieciskas pamatdarbibas NP'!W178</f>
        <v>-25892.303529637618</v>
      </c>
      <c r="X191" s="524">
        <f>'Saimnieciskas pamatdarbibas NP'!X178</f>
        <v>-26530.090981767615</v>
      </c>
      <c r="Y191" s="524">
        <f>'Saimnieciskas pamatdarbibas NP'!Y178</f>
        <v>-27167.878433897902</v>
      </c>
      <c r="Z191" s="524">
        <f>'Saimnieciskas pamatdarbibas NP'!Z178</f>
        <v>-27805.665886028073</v>
      </c>
      <c r="AA191" s="524">
        <f>'Saimnieciskas pamatdarbibas NP'!AA178</f>
        <v>-28443.453338158128</v>
      </c>
      <c r="AB191" s="524">
        <f>'Saimnieciskas pamatdarbibas NP'!AB178</f>
        <v>-26869.62194728828</v>
      </c>
      <c r="AC191" s="524">
        <f>'Saimnieciskas pamatdarbibas NP'!AC178</f>
        <v>8904.2094435815088</v>
      </c>
      <c r="AD191" s="524">
        <f>'Saimnieciskas pamatdarbibas NP'!AD178</f>
        <v>92858.040834451429</v>
      </c>
      <c r="AE191" s="524">
        <f>'Saimnieciskas pamatdarbibas NP'!AE178</f>
        <v>96441.872225321145</v>
      </c>
      <c r="AF191" s="524">
        <f>'Saimnieciskas pamatdarbibas NP'!AF178</f>
        <v>98271.48895581429</v>
      </c>
      <c r="AG191" s="524">
        <f>'Saimnieciskas pamatdarbibas NP'!AG178</f>
        <v>100101.10568630749</v>
      </c>
      <c r="AH191" s="524">
        <f>'Saimnieciskas pamatdarbibas NP'!AH178</f>
        <v>101930.72241680069</v>
      </c>
      <c r="AK191" s="110"/>
      <c r="AM191" s="110"/>
      <c r="AO191" s="110"/>
      <c r="AQ191" s="110"/>
    </row>
    <row r="192" spans="1:43" x14ac:dyDescent="0.2">
      <c r="A192" s="523" t="s">
        <v>479</v>
      </c>
      <c r="B192" s="525">
        <f>Aprēķini!B155</f>
        <v>591813.80000000005</v>
      </c>
      <c r="C192" s="572">
        <f>Aprēķini!C155</f>
        <v>350320.47</v>
      </c>
      <c r="D192" s="572">
        <f>Aprēķini!D155</f>
        <v>523465</v>
      </c>
      <c r="E192" s="572">
        <f>Aprēķini!E155</f>
        <v>0</v>
      </c>
      <c r="F192" s="525">
        <f>Aprēķini!F155</f>
        <v>0</v>
      </c>
      <c r="G192" s="525">
        <f>Aprēķini!G155</f>
        <v>0</v>
      </c>
      <c r="H192" s="525">
        <f>Aprēķini!H155</f>
        <v>0</v>
      </c>
      <c r="I192" s="525">
        <f>Aprēķini!I155</f>
        <v>0</v>
      </c>
      <c r="J192" s="525">
        <f>Aprēķini!J155</f>
        <v>0</v>
      </c>
      <c r="K192" s="525">
        <f>Aprēķini!K155</f>
        <v>0</v>
      </c>
      <c r="L192" s="525">
        <f>Aprēķini!L155</f>
        <v>0</v>
      </c>
      <c r="M192" s="525">
        <f>Aprēķini!M155</f>
        <v>0</v>
      </c>
      <c r="N192" s="525">
        <f>Aprēķini!N155</f>
        <v>0</v>
      </c>
      <c r="O192" s="525">
        <f>Aprēķini!O155</f>
        <v>0</v>
      </c>
      <c r="P192" s="525">
        <f>Aprēķini!P155</f>
        <v>0</v>
      </c>
      <c r="Q192" s="525">
        <f>Aprēķini!Q155</f>
        <v>0</v>
      </c>
      <c r="R192" s="525">
        <f>Aprēķini!R155</f>
        <v>0</v>
      </c>
      <c r="S192" s="525">
        <f>Aprēķini!S155</f>
        <v>0</v>
      </c>
      <c r="T192" s="525">
        <f>Aprēķini!T155</f>
        <v>0</v>
      </c>
      <c r="U192" s="525">
        <f>Aprēķini!U155</f>
        <v>0</v>
      </c>
      <c r="V192" s="525">
        <f>Aprēķini!V155</f>
        <v>0</v>
      </c>
      <c r="W192" s="525">
        <f>Aprēķini!W155</f>
        <v>0</v>
      </c>
      <c r="X192" s="525">
        <f>Aprēķini!X155</f>
        <v>0</v>
      </c>
      <c r="Y192" s="525">
        <f>Aprēķini!Y155</f>
        <v>0</v>
      </c>
      <c r="Z192" s="525">
        <f>Aprēķini!Z155</f>
        <v>0</v>
      </c>
      <c r="AA192" s="525">
        <f>Aprēķini!AA155</f>
        <v>0</v>
      </c>
      <c r="AB192" s="525">
        <f>Aprēķini!AB155</f>
        <v>0</v>
      </c>
      <c r="AC192" s="525">
        <f>Aprēķini!AC155</f>
        <v>0</v>
      </c>
      <c r="AD192" s="525">
        <f>Aprēķini!AD155</f>
        <v>0</v>
      </c>
      <c r="AE192" s="525">
        <f>Aprēķini!AE155</f>
        <v>0</v>
      </c>
      <c r="AF192" s="525">
        <f>Aprēķini!AF155</f>
        <v>0</v>
      </c>
      <c r="AG192" s="525">
        <f>Aprēķini!AG155</f>
        <v>0</v>
      </c>
      <c r="AH192" s="525">
        <f>Aprēķini!AH155</f>
        <v>0</v>
      </c>
      <c r="AK192" s="110"/>
      <c r="AM192" s="110"/>
      <c r="AO192" s="110"/>
      <c r="AQ192" s="110"/>
    </row>
    <row r="193" spans="1:43" x14ac:dyDescent="0.2">
      <c r="A193" s="523" t="s">
        <v>550</v>
      </c>
      <c r="B193" s="525">
        <f t="shared" ref="B193:AG193" si="105">SUM(B191:B192)</f>
        <v>591813.80000000005</v>
      </c>
      <c r="C193" s="525">
        <f t="shared" si="105"/>
        <v>350720.66395739687</v>
      </c>
      <c r="D193" s="525">
        <f t="shared" si="105"/>
        <v>524038.10452628112</v>
      </c>
      <c r="E193" s="525">
        <f t="shared" si="105"/>
        <v>1484.5089233697508</v>
      </c>
      <c r="F193" s="525">
        <f t="shared" si="105"/>
        <v>2264.0810409458063</v>
      </c>
      <c r="G193" s="525">
        <f t="shared" si="105"/>
        <v>3067.0284538077249</v>
      </c>
      <c r="H193" s="525">
        <f t="shared" si="105"/>
        <v>3122.9368190543028</v>
      </c>
      <c r="I193" s="525">
        <f t="shared" si="105"/>
        <v>3178.8851843008597</v>
      </c>
      <c r="J193" s="525">
        <f t="shared" si="105"/>
        <v>3233.6935495474609</v>
      </c>
      <c r="K193" s="525">
        <f t="shared" si="105"/>
        <v>3288.5019147940329</v>
      </c>
      <c r="L193" s="525">
        <f t="shared" si="105"/>
        <v>5554.9291230405361</v>
      </c>
      <c r="M193" s="525">
        <f t="shared" si="105"/>
        <v>7821.3563312871484</v>
      </c>
      <c r="N193" s="525">
        <f t="shared" si="105"/>
        <v>10087.783539533724</v>
      </c>
      <c r="O193" s="525">
        <f t="shared" si="105"/>
        <v>10169.996087403517</v>
      </c>
      <c r="P193" s="525">
        <f t="shared" si="105"/>
        <v>10252.208635273462</v>
      </c>
      <c r="Q193" s="525">
        <f t="shared" si="105"/>
        <v>10334.421183143313</v>
      </c>
      <c r="R193" s="525">
        <f t="shared" si="105"/>
        <v>-15803.36626898688</v>
      </c>
      <c r="S193" s="525">
        <f t="shared" si="105"/>
        <v>-16291.153721117014</v>
      </c>
      <c r="T193" s="525">
        <f t="shared" si="105"/>
        <v>-16778.941173247105</v>
      </c>
      <c r="U193" s="525">
        <f t="shared" si="105"/>
        <v>-17266.728625377335</v>
      </c>
      <c r="V193" s="525">
        <f t="shared" si="105"/>
        <v>-25254.51607750744</v>
      </c>
      <c r="W193" s="525">
        <f t="shared" si="105"/>
        <v>-25892.303529637618</v>
      </c>
      <c r="X193" s="525">
        <f t="shared" si="105"/>
        <v>-26530.090981767615</v>
      </c>
      <c r="Y193" s="525">
        <f t="shared" si="105"/>
        <v>-27167.878433897902</v>
      </c>
      <c r="Z193" s="525">
        <f t="shared" si="105"/>
        <v>-27805.665886028073</v>
      </c>
      <c r="AA193" s="525">
        <f t="shared" si="105"/>
        <v>-28443.453338158128</v>
      </c>
      <c r="AB193" s="525">
        <f t="shared" si="105"/>
        <v>-26869.62194728828</v>
      </c>
      <c r="AC193" s="525">
        <f t="shared" si="105"/>
        <v>8904.2094435815088</v>
      </c>
      <c r="AD193" s="525">
        <f t="shared" si="105"/>
        <v>92858.040834451429</v>
      </c>
      <c r="AE193" s="525">
        <f t="shared" si="105"/>
        <v>96441.872225321145</v>
      </c>
      <c r="AF193" s="525">
        <f t="shared" si="105"/>
        <v>98271.48895581429</v>
      </c>
      <c r="AG193" s="525">
        <f t="shared" si="105"/>
        <v>100101.10568630749</v>
      </c>
      <c r="AH193" s="525">
        <f>SUM(AH191:AH192)</f>
        <v>101930.72241680069</v>
      </c>
      <c r="AK193" s="110"/>
      <c r="AM193" s="110"/>
      <c r="AO193" s="110"/>
      <c r="AQ193" s="110"/>
    </row>
    <row r="194" spans="1:43" x14ac:dyDescent="0.2">
      <c r="A194" s="523" t="s">
        <v>543</v>
      </c>
      <c r="B194" s="525">
        <f t="shared" ref="B194:AG194" si="106">B190-B193</f>
        <v>-591813.80000000005</v>
      </c>
      <c r="C194" s="525">
        <f t="shared" si="106"/>
        <v>-350720.66395739687</v>
      </c>
      <c r="D194" s="525">
        <f t="shared" si="106"/>
        <v>-520570.17406634899</v>
      </c>
      <c r="E194" s="525">
        <f t="shared" si="106"/>
        <v>19247.173944001472</v>
      </c>
      <c r="F194" s="525">
        <f t="shared" si="106"/>
        <v>19086.548229935772</v>
      </c>
      <c r="G194" s="525">
        <f t="shared" si="106"/>
        <v>19504.868073486694</v>
      </c>
      <c r="H194" s="525">
        <f t="shared" si="106"/>
        <v>19428.752803105002</v>
      </c>
      <c r="I194" s="525">
        <f t="shared" si="106"/>
        <v>19024.380705312749</v>
      </c>
      <c r="J194" s="525">
        <f t="shared" si="106"/>
        <v>23133.372164607688</v>
      </c>
      <c r="K194" s="525">
        <f t="shared" si="106"/>
        <v>23425.416171360608</v>
      </c>
      <c r="L194" s="525">
        <f t="shared" si="106"/>
        <v>23240.103195111871</v>
      </c>
      <c r="M194" s="525">
        <f t="shared" si="106"/>
        <v>23401.642590862532</v>
      </c>
      <c r="N194" s="525">
        <f t="shared" si="106"/>
        <v>23214.758254067499</v>
      </c>
      <c r="O194" s="525">
        <f t="shared" si="106"/>
        <v>18276.612498203049</v>
      </c>
      <c r="P194" s="525">
        <f t="shared" si="106"/>
        <v>18194.399950333191</v>
      </c>
      <c r="Q194" s="525">
        <f t="shared" si="106"/>
        <v>20887.006378460395</v>
      </c>
      <c r="R194" s="525">
        <f t="shared" si="106"/>
        <v>19249.890941338632</v>
      </c>
      <c r="S194" s="525">
        <f t="shared" si="106"/>
        <v>23571.910812016918</v>
      </c>
      <c r="T194" s="525">
        <f t="shared" si="106"/>
        <v>18836.484997054347</v>
      </c>
      <c r="U194" s="525">
        <f t="shared" si="106"/>
        <v>18977.420077184997</v>
      </c>
      <c r="V194" s="525">
        <f t="shared" si="106"/>
        <v>18640.750601324151</v>
      </c>
      <c r="W194" s="525">
        <f t="shared" si="106"/>
        <v>18584.833309455113</v>
      </c>
      <c r="X194" s="525">
        <f t="shared" si="106"/>
        <v>21302.163633036693</v>
      </c>
      <c r="Y194" s="525">
        <f t="shared" si="106"/>
        <v>21246.246341168007</v>
      </c>
      <c r="Z194" s="525">
        <f t="shared" si="106"/>
        <v>20841.905316753226</v>
      </c>
      <c r="AA194" s="525">
        <f t="shared" si="106"/>
        <v>21132.840396883556</v>
      </c>
      <c r="AB194" s="525">
        <f t="shared" si="106"/>
        <v>20944.847133466217</v>
      </c>
      <c r="AC194" s="525">
        <f t="shared" si="106"/>
        <v>23326.348023100349</v>
      </c>
      <c r="AD194" s="525">
        <f t="shared" si="106"/>
        <v>37979.157355067888</v>
      </c>
      <c r="AE194" s="525">
        <f t="shared" si="106"/>
        <v>37863.849684194473</v>
      </c>
      <c r="AF194" s="525">
        <f t="shared" si="106"/>
        <v>28707.906406966285</v>
      </c>
      <c r="AG194" s="525">
        <f t="shared" si="106"/>
        <v>577251.55153647112</v>
      </c>
      <c r="AH194" s="525">
        <f>AH190-AH193</f>
        <v>28517.196665976007</v>
      </c>
      <c r="AK194" s="110"/>
      <c r="AM194" s="110"/>
      <c r="AO194" s="110"/>
      <c r="AQ194" s="110"/>
    </row>
    <row r="195" spans="1:43" x14ac:dyDescent="0.2">
      <c r="A195" s="278" t="s">
        <v>551</v>
      </c>
      <c r="B195" s="293"/>
      <c r="C195" s="293"/>
      <c r="D195" s="293"/>
      <c r="E195" s="293"/>
      <c r="F195" s="293"/>
      <c r="G195" s="293"/>
      <c r="I195" s="293"/>
      <c r="J195" s="293"/>
      <c r="K195" s="293"/>
      <c r="L195" s="293"/>
      <c r="M195" s="584">
        <f>IF(ISERROR(IRR(C194:AG194,0)),"Nevar aprēķināt",IRR(C194:AG194,0))</f>
        <v>1.4789694628712935E-2</v>
      </c>
      <c r="N195" s="293"/>
      <c r="O195" s="293"/>
      <c r="Q195" s="294"/>
      <c r="R195" s="293"/>
      <c r="S195" s="293"/>
      <c r="T195" s="293"/>
      <c r="U195" s="293"/>
      <c r="V195" s="293"/>
      <c r="W195" s="293"/>
      <c r="X195" s="293"/>
      <c r="Y195" s="293"/>
      <c r="Z195" s="293"/>
      <c r="AA195" s="293"/>
      <c r="AB195" s="293"/>
      <c r="AC195" s="293"/>
      <c r="AD195" s="293"/>
      <c r="AE195" s="293"/>
      <c r="AF195" s="293"/>
      <c r="AG195" s="293"/>
      <c r="AH195" s="293"/>
      <c r="AK195" s="110"/>
      <c r="AM195" s="110"/>
      <c r="AO195" s="110"/>
      <c r="AQ195" s="110"/>
    </row>
    <row r="196" spans="1:43" x14ac:dyDescent="0.2">
      <c r="A196" s="278" t="s">
        <v>552</v>
      </c>
      <c r="M196" s="283">
        <f>NPV('Kopējie pieņēmumi'!B18,C194:AG194)</f>
        <v>-450449.55150393891</v>
      </c>
      <c r="Q196" s="283"/>
      <c r="AK196" s="110"/>
      <c r="AM196" s="110"/>
      <c r="AO196" s="110"/>
      <c r="AQ196" s="110"/>
    </row>
    <row r="197" spans="1:43" x14ac:dyDescent="0.2">
      <c r="A197" s="278"/>
      <c r="M197" s="283"/>
      <c r="Q197" s="283"/>
      <c r="AK197" s="110"/>
      <c r="AM197" s="110"/>
      <c r="AO197" s="110"/>
      <c r="AQ197" s="110"/>
    </row>
    <row r="198" spans="1:43" x14ac:dyDescent="0.2">
      <c r="M198" s="283"/>
      <c r="Q198" s="283"/>
      <c r="AK198" s="110"/>
      <c r="AM198" s="110"/>
      <c r="AO198" s="110"/>
      <c r="AQ198" s="110"/>
    </row>
    <row r="199" spans="1:43" ht="15" x14ac:dyDescent="0.2">
      <c r="A199" s="428" t="s">
        <v>553</v>
      </c>
      <c r="AK199" s="110"/>
      <c r="AM199" s="110"/>
      <c r="AO199" s="110"/>
      <c r="AQ199" s="110"/>
    </row>
    <row r="200" spans="1:43" ht="12.75" hidden="1" customHeight="1" outlineLevel="1" x14ac:dyDescent="0.2">
      <c r="AK200" s="110"/>
      <c r="AM200" s="110"/>
      <c r="AO200" s="110"/>
      <c r="AQ200" s="110"/>
    </row>
    <row r="201" spans="1:43" ht="12.75" hidden="1" customHeight="1" outlineLevel="1" x14ac:dyDescent="0.2">
      <c r="A201" s="280" t="s">
        <v>554</v>
      </c>
      <c r="AK201" s="110"/>
      <c r="AM201" s="110"/>
      <c r="AO201" s="110"/>
      <c r="AQ201" s="110"/>
    </row>
    <row r="202" spans="1:43" collapsed="1" x14ac:dyDescent="0.2">
      <c r="B202" s="107">
        <f>Aprēķini!B6</f>
        <v>2017</v>
      </c>
      <c r="C202" s="107">
        <f t="shared" ref="C202:AG202" si="107">B202+1</f>
        <v>2018</v>
      </c>
      <c r="D202" s="107">
        <f t="shared" si="107"/>
        <v>2019</v>
      </c>
      <c r="E202" s="107">
        <f t="shared" si="107"/>
        <v>2020</v>
      </c>
      <c r="F202" s="107">
        <f t="shared" si="107"/>
        <v>2021</v>
      </c>
      <c r="G202" s="107">
        <f t="shared" si="107"/>
        <v>2022</v>
      </c>
      <c r="H202" s="107">
        <f t="shared" si="107"/>
        <v>2023</v>
      </c>
      <c r="I202" s="107">
        <f t="shared" si="107"/>
        <v>2024</v>
      </c>
      <c r="J202" s="107">
        <f t="shared" si="107"/>
        <v>2025</v>
      </c>
      <c r="K202" s="107">
        <f t="shared" si="107"/>
        <v>2026</v>
      </c>
      <c r="L202" s="107">
        <f t="shared" si="107"/>
        <v>2027</v>
      </c>
      <c r="M202" s="107">
        <f t="shared" si="107"/>
        <v>2028</v>
      </c>
      <c r="N202" s="107">
        <f t="shared" si="107"/>
        <v>2029</v>
      </c>
      <c r="O202" s="107">
        <f t="shared" si="107"/>
        <v>2030</v>
      </c>
      <c r="P202" s="107">
        <f t="shared" si="107"/>
        <v>2031</v>
      </c>
      <c r="Q202" s="107">
        <f t="shared" si="107"/>
        <v>2032</v>
      </c>
      <c r="R202" s="107">
        <f t="shared" si="107"/>
        <v>2033</v>
      </c>
      <c r="S202" s="107">
        <f t="shared" si="107"/>
        <v>2034</v>
      </c>
      <c r="T202" s="107">
        <f t="shared" si="107"/>
        <v>2035</v>
      </c>
      <c r="U202" s="107">
        <f t="shared" si="107"/>
        <v>2036</v>
      </c>
      <c r="V202" s="107">
        <f t="shared" si="107"/>
        <v>2037</v>
      </c>
      <c r="W202" s="107">
        <f t="shared" si="107"/>
        <v>2038</v>
      </c>
      <c r="X202" s="107">
        <f t="shared" si="107"/>
        <v>2039</v>
      </c>
      <c r="Y202" s="107">
        <f t="shared" si="107"/>
        <v>2040</v>
      </c>
      <c r="Z202" s="107">
        <f t="shared" si="107"/>
        <v>2041</v>
      </c>
      <c r="AA202" s="107">
        <f t="shared" si="107"/>
        <v>2042</v>
      </c>
      <c r="AB202" s="107">
        <f t="shared" si="107"/>
        <v>2043</v>
      </c>
      <c r="AC202" s="107">
        <f t="shared" si="107"/>
        <v>2044</v>
      </c>
      <c r="AD202" s="107">
        <f t="shared" si="107"/>
        <v>2045</v>
      </c>
      <c r="AE202" s="107">
        <f t="shared" si="107"/>
        <v>2046</v>
      </c>
      <c r="AF202" s="107">
        <f t="shared" si="107"/>
        <v>2047</v>
      </c>
      <c r="AG202" s="107">
        <f t="shared" si="107"/>
        <v>2048</v>
      </c>
      <c r="AH202" s="107">
        <f>AG202+1</f>
        <v>2049</v>
      </c>
      <c r="AK202" s="110"/>
      <c r="AM202" s="110"/>
      <c r="AO202" s="110"/>
      <c r="AQ202" s="110"/>
    </row>
    <row r="203" spans="1:43" s="297" customFormat="1" ht="25.5" x14ac:dyDescent="0.2">
      <c r="A203" s="295" t="s">
        <v>555</v>
      </c>
      <c r="B203" s="296" t="str">
        <f>IF(Aprēķini!B313=0,"-",Aprēķini!B300/Aprēķini!B313)</f>
        <v>-</v>
      </c>
      <c r="C203" s="296" t="str">
        <f>IF(Aprēķini!C313=0,"-",Aprēķini!C300/Aprēķini!C313)</f>
        <v>-</v>
      </c>
      <c r="D203" s="296">
        <f>IF(Aprēķini!D313=0,"-",Aprēķini!D300/Aprēķini!D313)</f>
        <v>1449.4226473802782</v>
      </c>
      <c r="E203" s="296">
        <f>IF(Aprēķini!E313=0,"-",Aprēķini!E300/Aprēķini!E313)</f>
        <v>53.130101608468657</v>
      </c>
      <c r="F203" s="296">
        <f>IF(Aprēķini!F313=0,"-",Aprēķini!F300/Aprēķini!F313)</f>
        <v>67.77559523075044</v>
      </c>
      <c r="G203" s="296">
        <f>IF(Aprēķini!G313=0,"-",Aprēķini!G300/Aprēķini!G313)</f>
        <v>82.459759811658998</v>
      </c>
      <c r="H203" s="296">
        <f>IF(Aprēķini!H313=0,"-",Aprēķini!H300/Aprēķini!H313)</f>
        <v>97.171786191807797</v>
      </c>
      <c r="I203" s="296">
        <f>IF(Aprēķini!I313=0,"-",Aprēķini!I300/Aprēķini!I313)</f>
        <v>111.91160428825589</v>
      </c>
      <c r="J203" s="296">
        <f>IF(Aprēķini!J313=0,"-",Aprēķini!J300/Aprēķini!J313)</f>
        <v>126.8893364200412</v>
      </c>
      <c r="K203" s="296">
        <f>IF(Aprēķini!K313=0,"-",Aprēķini!K300/Aprēķini!K313)</f>
        <v>141.86600169697709</v>
      </c>
      <c r="L203" s="296">
        <f>IF(Aprēķini!L313=0,"-",Aprēķini!L300/Aprēķini!L313)</f>
        <v>156.88272590244821</v>
      </c>
      <c r="M203" s="296">
        <f>IF(Aprēķini!M313=0,"-",Aprēķini!M300/Aprēķini!M313)</f>
        <v>173.2437184879025</v>
      </c>
      <c r="N203" s="296">
        <f>IF(Aprēķini!N313=0,"-",Aprēķini!N300/Aprēķini!N313)</f>
        <v>250.69056998926047</v>
      </c>
      <c r="O203" s="296">
        <f>IF(Aprēķini!O313=0,"-",Aprēķini!O300/Aprēķini!O313)</f>
        <v>268.89729507519394</v>
      </c>
      <c r="P203" s="296">
        <f>IF(Aprēķini!P313=0,"-",Aprēķini!P300/Aprēķini!P313)</f>
        <v>287.1488458927887</v>
      </c>
      <c r="Q203" s="296">
        <f>IF(Aprēķini!Q313=0,"-",Aprēķini!Q300/Aprēķini!Q313)</f>
        <v>305.40379473043595</v>
      </c>
      <c r="R203" s="296">
        <f>IF(Aprēķini!R313=0,"-",Aprēķini!R300/Aprēķini!R313)</f>
        <v>318.28733343796171</v>
      </c>
      <c r="S203" s="296">
        <f>IF(Aprēķini!S313=0,"-",Aprēķini!S300/Aprēķini!S313)</f>
        <v>330.36562749652751</v>
      </c>
      <c r="T203" s="296">
        <f>IF(Aprēķini!T313=0,"-",Aprēķini!T300/Aprēķini!T313)</f>
        <v>342.24403417477646</v>
      </c>
      <c r="U203" s="296">
        <f>IF(Aprēķini!U313=0,"-",Aprēķini!U300/Aprēķini!U313)</f>
        <v>354.18697019536108</v>
      </c>
      <c r="V203" s="296">
        <f>IF(Aprēķini!V313=0,"-",Aprēķini!V300/Aprēķini!V313)</f>
        <v>366.22241786476582</v>
      </c>
      <c r="W203" s="296">
        <f>IF(Aprēķini!W313=0,"-",Aprēķini!W300/Aprēķini!W313)</f>
        <v>378.33398217358496</v>
      </c>
      <c r="X203" s="296">
        <f>IF(Aprēķini!X313=0,"-",Aprēķini!X300/Aprēķini!X313)</f>
        <v>390.6633566690345</v>
      </c>
      <c r="Y203" s="296">
        <f>IF(Aprēķini!Y313=0,"-",Aprēķini!Y300/Aprēķini!Y313)</f>
        <v>403.06884780389845</v>
      </c>
      <c r="Z203" s="296">
        <f>IF(Aprēķini!Z313=0,"-",Aprēķini!Z300/Aprēķini!Z313)</f>
        <v>415.5301087716407</v>
      </c>
      <c r="AA203" s="296">
        <f>IF(Aprēķini!AA313=0,"-",Aprēķini!AA300/Aprēķini!AA313)</f>
        <v>428.06748637879724</v>
      </c>
      <c r="AB203" s="296">
        <f>IF(Aprēķini!AB313=0,"-",Aprēķini!AB300/Aprēķini!AB313)</f>
        <v>440.67694628879281</v>
      </c>
      <c r="AC203" s="296">
        <f>IF(Aprēķini!AC313=0,"-",Aprēķini!AC300/Aprēķini!AC313)</f>
        <v>453.48819175065375</v>
      </c>
      <c r="AD203" s="296">
        <f>IF(Aprēķini!AD313=0,"-",Aprēķini!AD300/Aprēķini!AD313)</f>
        <v>467.21791880906602</v>
      </c>
      <c r="AE203" s="296">
        <f>IF(Aprēķini!AE313=0,"-",Aprēķini!AE300/Aprēķini!AE313)</f>
        <v>481.02397277121929</v>
      </c>
      <c r="AF203" s="296">
        <f>IF(Aprēķini!AF313=0,"-",Aprēķini!AF300/Aprēķini!AF313)</f>
        <v>494.38691219678151</v>
      </c>
      <c r="AG203" s="296">
        <f>IF(Aprēķini!AG313=0,"-",Aprēķini!AG300/Aprēķini!AG313)</f>
        <v>507.83584581800869</v>
      </c>
      <c r="AH203" s="296" t="str">
        <f>IF(Aprēķini!AH313=0,"-",Aprēķini!AH300/Aprēķini!AH313)</f>
        <v>-</v>
      </c>
      <c r="AK203" s="110"/>
      <c r="AM203" s="110"/>
      <c r="AN203" s="28"/>
      <c r="AO203" s="110"/>
      <c r="AP203" s="28"/>
      <c r="AQ203" s="110"/>
    </row>
    <row r="204" spans="1:43" x14ac:dyDescent="0.2">
      <c r="AK204" s="110"/>
      <c r="AM204" s="110"/>
      <c r="AO204" s="110"/>
      <c r="AQ204" s="110"/>
    </row>
    <row r="205" spans="1:43" ht="25.5" hidden="1" outlineLevel="1" x14ac:dyDescent="0.2">
      <c r="A205" s="298" t="s">
        <v>556</v>
      </c>
      <c r="B205" s="299">
        <f>Aprēķini!B300-Aprēķini!B313</f>
        <v>354614.66746969224</v>
      </c>
      <c r="C205" s="299">
        <f>Aprēķini!C300-Aprēķini!C313</f>
        <v>539017.69638175506</v>
      </c>
      <c r="D205" s="299">
        <f>Aprēķini!D300-Aprēķini!D313</f>
        <v>886078.0055670162</v>
      </c>
      <c r="E205" s="299">
        <f>Aprēķini!E300-Aprēķini!E313</f>
        <v>1198585.388845247</v>
      </c>
      <c r="F205" s="299">
        <f>Aprēķini!F300-Aprēķini!F313</f>
        <v>1535317.4136537604</v>
      </c>
      <c r="G205" s="299">
        <f>Aprēķini!G300-Aprēķini!G313</f>
        <v>1872938.5686299228</v>
      </c>
      <c r="H205" s="299">
        <f>Aprēķini!H300-Aprēķini!H313</f>
        <v>2211200.3274884084</v>
      </c>
      <c r="I205" s="299">
        <f>Aprēķini!I300-Aprēķini!I313</f>
        <v>2550101.0788686709</v>
      </c>
      <c r="J205" s="299">
        <f>Aprēķini!J300-Aprēķini!J313</f>
        <v>2894471.9958108217</v>
      </c>
      <c r="K205" s="299">
        <f>Aprēķini!K300-Aprēķini!K313</f>
        <v>3238818.383419726</v>
      </c>
      <c r="L205" s="299">
        <f>Aprēķini!L300-Aprēķini!L313</f>
        <v>3584085.813669133</v>
      </c>
      <c r="M205" s="299">
        <f>Aprēķini!M300-Aprēķini!M313</f>
        <v>3930100.9633161821</v>
      </c>
      <c r="N205" s="299">
        <f>Aprēķini!N300-Aprēķini!N313</f>
        <v>4275762.8929476701</v>
      </c>
      <c r="O205" s="299">
        <f>Aprēķini!O300-Aprēķini!O313</f>
        <v>4587539.3430069657</v>
      </c>
      <c r="P205" s="299">
        <f>Aprēķini!P300-Aprēķini!P313</f>
        <v>4900083.3999490319</v>
      </c>
      <c r="Q205" s="299">
        <f>Aprēķini!Q300-Aprēķini!Q313</f>
        <v>5212685.6454244116</v>
      </c>
      <c r="R205" s="299">
        <f>Aprēķini!R300-Aprēķini!R313</f>
        <v>5433306.5392685933</v>
      </c>
      <c r="S205" s="299">
        <f>Aprēķini!S300-Aprēķini!S313</f>
        <v>5640138.2251746617</v>
      </c>
      <c r="T205" s="299">
        <f>Aprēķini!T300-Aprēķini!T313</f>
        <v>5843546.9902889514</v>
      </c>
      <c r="U205" s="299">
        <f>Aprēķini!U300-Aprēķini!U313</f>
        <v>6048060.7717740117</v>
      </c>
      <c r="V205" s="299">
        <f>Aprēķini!V300-Aprēķini!V313</f>
        <v>6254158.7455463801</v>
      </c>
      <c r="W205" s="299">
        <f>Aprēķini!W300-Aprēķini!W313</f>
        <v>6461560.1594220651</v>
      </c>
      <c r="X205" s="299">
        <f>Aprēķini!X300-Aprēķini!X313</f>
        <v>6672691.408644517</v>
      </c>
      <c r="Y205" s="299">
        <f>Aprēķini!Y300-Aprēķini!Y313</f>
        <v>6885126.0979702855</v>
      </c>
      <c r="Z205" s="299">
        <f>Aprēķini!Z300-Aprēķini!Z313</f>
        <v>7098515.8036668245</v>
      </c>
      <c r="AA205" s="299">
        <f>Aprēķini!AA300-Aprēķini!AA313</f>
        <v>7313208.9494666792</v>
      </c>
      <c r="AB205" s="299">
        <f>Aprēķini!AB300-Aprēķini!AB313</f>
        <v>7529136.4503954854</v>
      </c>
      <c r="AC205" s="299">
        <f>Aprēķini!AC300-Aprēķini!AC313</f>
        <v>7748519.3768737474</v>
      </c>
      <c r="AD205" s="299">
        <f>Aprēķini!AD300-Aprēķini!AD313</f>
        <v>7983630.6087043444</v>
      </c>
      <c r="AE205" s="299">
        <f>Aprēķini!AE300-Aprēķini!AE313</f>
        <v>8220048.881256436</v>
      </c>
      <c r="AF205" s="299">
        <f>Aprēķini!AF300-Aprēķini!AF313</f>
        <v>8448879.1512141041</v>
      </c>
      <c r="AG205" s="299">
        <f>Aprēķini!AG300-Aprēķini!AG313</f>
        <v>8679182.0069840793</v>
      </c>
      <c r="AH205" s="299">
        <f>Aprēķini!AH300-Aprēķini!AH313</f>
        <v>8928081.6951613817</v>
      </c>
      <c r="AK205" s="110"/>
      <c r="AM205" s="110"/>
      <c r="AO205" s="110"/>
      <c r="AQ205" s="110"/>
    </row>
    <row r="206" spans="1:43" hidden="1" outlineLevel="1" x14ac:dyDescent="0.2">
      <c r="A206" s="298"/>
      <c r="B206" s="299"/>
      <c r="C206" s="299"/>
      <c r="D206" s="299"/>
      <c r="E206" s="299"/>
      <c r="F206" s="299"/>
      <c r="G206" s="299"/>
      <c r="H206" s="299"/>
      <c r="I206" s="299"/>
      <c r="J206" s="299"/>
      <c r="K206" s="299"/>
      <c r="L206" s="299"/>
      <c r="M206" s="299"/>
      <c r="N206" s="299"/>
      <c r="O206" s="299"/>
      <c r="P206" s="299"/>
      <c r="Q206" s="299"/>
      <c r="R206" s="299"/>
      <c r="S206" s="299"/>
      <c r="T206" s="299"/>
      <c r="U206" s="299"/>
      <c r="V206" s="299"/>
      <c r="W206" s="299"/>
      <c r="X206" s="299"/>
      <c r="Y206" s="299"/>
      <c r="Z206" s="299"/>
      <c r="AA206" s="299"/>
      <c r="AB206" s="299"/>
      <c r="AC206" s="299"/>
      <c r="AD206" s="299"/>
      <c r="AE206" s="299"/>
      <c r="AF206" s="299"/>
      <c r="AG206" s="299"/>
      <c r="AH206" s="299"/>
      <c r="AK206" s="110"/>
      <c r="AM206" s="110"/>
      <c r="AO206" s="110"/>
      <c r="AQ206" s="110"/>
    </row>
    <row r="207" spans="1:43" ht="38.25" collapsed="1" x14ac:dyDescent="0.2">
      <c r="A207" s="295" t="s">
        <v>557</v>
      </c>
      <c r="B207" s="296">
        <f>IF((B257+B258)=0,"-",'Saimnieciskas pamatdarbibas NP'!B110/(B257+B258))</f>
        <v>158.29585959581004</v>
      </c>
      <c r="C207" s="296">
        <f>IF((C257+C258)=0,"-",'Saimnieciskas pamatdarbibas NP'!C110/(C257+C258))</f>
        <v>190.14069995761241</v>
      </c>
      <c r="D207" s="296">
        <f>IF((D257+D258)=0,"-",'Saimnieciskas pamatdarbibas NP'!D110/(D257+D258))</f>
        <v>180.56180187376663</v>
      </c>
      <c r="E207" s="296">
        <f>IF((E257+E258)=0,"-",'Saimnieciskas pamatdarbibas NP'!E110/(E257+E258))</f>
        <v>29.760009331037693</v>
      </c>
      <c r="F207" s="296">
        <f>IF((F257+F258)=0,"-",'Saimnieciskas pamatdarbibas NP'!F110/(F257+F258))</f>
        <v>29.948841598938429</v>
      </c>
      <c r="G207" s="296">
        <f>IF((G257+G258)=0,"-",'Saimnieciskas pamatdarbibas NP'!G110/(G257+G258))</f>
        <v>30.138163854092266</v>
      </c>
      <c r="H207" s="296">
        <f>IF((H257+H258)=0,"-",'Saimnieciskas pamatdarbibas NP'!H110/(H257+H258))</f>
        <v>30.305788872136358</v>
      </c>
      <c r="I207" s="296">
        <f>IF((I257+I258)=0,"-",'Saimnieciskas pamatdarbibas NP'!I110/(I257+I258))</f>
        <v>30.474511671768305</v>
      </c>
      <c r="J207" s="296">
        <f>IF((J257+J258)=0,"-",'Saimnieciskas pamatdarbibas NP'!J110/(J257+J258))</f>
        <v>31.002057149985944</v>
      </c>
      <c r="K207" s="296">
        <f>IF((K257+K258)=0,"-",'Saimnieciskas pamatdarbibas NP'!K110/(K257+K258))</f>
        <v>31.207516529023618</v>
      </c>
      <c r="L207" s="296">
        <f>IF((L257+L258)=0,"-",'Saimnieciskas pamatdarbibas NP'!L110/(L257+L258))</f>
        <v>31.408152801659927</v>
      </c>
      <c r="M207" s="296">
        <f>IF((M257+M258)=0,"-",'Saimnieciskas pamatdarbibas NP'!M110/(M257+M258))</f>
        <v>31.577305952040078</v>
      </c>
      <c r="N207" s="296">
        <f>IF((N257+N258)=0,"-",'Saimnieciskas pamatdarbibas NP'!N110/(N257+N258))</f>
        <v>31.151794613482487</v>
      </c>
      <c r="O207" s="296">
        <f>IF((O257+O258)=0,"-",'Saimnieciskas pamatdarbibas NP'!O110/(O257+O258))</f>
        <v>29.119402050272218</v>
      </c>
      <c r="P207" s="296">
        <f>IF((P257+P258)=0,"-",'Saimnieciskas pamatdarbibas NP'!P110/(P257+P258))</f>
        <v>29.300425396950182</v>
      </c>
      <c r="Q207" s="296">
        <f>IF((Q257+Q258)=0,"-",'Saimnieciskas pamatdarbibas NP'!Q110/(Q257+Q258))</f>
        <v>29.414616850912513</v>
      </c>
      <c r="R207" s="296">
        <f>IF((R257+R258)=0,"-",'Saimnieciskas pamatdarbibas NP'!R110/(R257+R258))</f>
        <v>20.644619207326802</v>
      </c>
      <c r="S207" s="296">
        <f>IF((S257+S258)=0,"-",'Saimnieciskas pamatdarbibas NP'!S110/(S257+S258))</f>
        <v>19.3842900781388</v>
      </c>
      <c r="T207" s="296">
        <f>IF((T257+T258)=0,"-",'Saimnieciskas pamatdarbibas NP'!T110/(T257+T258))</f>
        <v>19.122658437500554</v>
      </c>
      <c r="U207" s="296">
        <f>IF((U257+U258)=0,"-",'Saimnieciskas pamatdarbibas NP'!U110/(U257+U258))</f>
        <v>19.301203876184374</v>
      </c>
      <c r="V207" s="296">
        <f>IF((V257+V258)=0,"-",'Saimnieciskas pamatdarbibas NP'!V110/(V257+V258))</f>
        <v>19.528127671667839</v>
      </c>
      <c r="W207" s="296">
        <f>IF((W257+W258)=0,"-",'Saimnieciskas pamatdarbibas NP'!W110/(W257+W258))</f>
        <v>19.729199275261099</v>
      </c>
      <c r="X207" s="296">
        <f>IF((X257+X258)=0,"-",'Saimnieciskas pamatdarbibas NP'!X110/(X257+X258))</f>
        <v>20.171631212881938</v>
      </c>
      <c r="Y207" s="296">
        <f>IF((Y257+Y258)=0,"-",'Saimnieciskas pamatdarbibas NP'!Y110/(Y257+Y258))</f>
        <v>20.376842296353949</v>
      </c>
      <c r="Z207" s="296">
        <f>IF((Z257+Z258)=0,"-",'Saimnieciskas pamatdarbibas NP'!Z110/(Z257+Z258))</f>
        <v>20.548979933488965</v>
      </c>
      <c r="AA207" s="296">
        <f>IF((AA257+AA258)=0,"-",'Saimnieciskas pamatdarbibas NP'!AA110/(AA257+AA258))</f>
        <v>20.75733451319611</v>
      </c>
      <c r="AB207" s="296">
        <f>IF((AB257+AB258)=0,"-",'Saimnieciskas pamatdarbibas NP'!AB110/(AB257+AB258))</f>
        <v>20.96042224650132</v>
      </c>
      <c r="AC207" s="296">
        <f>IF((AC257+AC258)=0,"-",'Saimnieciskas pamatdarbibas NP'!AC110/(AC257+AC258))</f>
        <v>21.389042727410406</v>
      </c>
      <c r="AD207" s="296">
        <f>IF((AD257+AD258)=0,"-",'Saimnieciskas pamatdarbibas NP'!AD110/(AD257+AD258))</f>
        <v>23.063311299107525</v>
      </c>
      <c r="AE207" s="296">
        <f>IF((AE257+AE258)=0,"-",'Saimnieciskas pamatdarbibas NP'!AE110/(AE257+AE258))</f>
        <v>23.285607228546144</v>
      </c>
      <c r="AF207" s="296">
        <f>IF((AF257+AF258)=0,"-",'Saimnieciskas pamatdarbibas NP'!AF110/(AF257+AF258))</f>
        <v>22.602080054661709</v>
      </c>
      <c r="AG207" s="296">
        <f>IF((AG257+AG258)=0,"-",'Saimnieciskas pamatdarbibas NP'!AG110/(AG257+AG258))</f>
        <v>22.841268922742792</v>
      </c>
      <c r="AH207" s="296">
        <f>IF((AH257+AH258)=0,"-",'Saimnieciskas pamatdarbibas NP'!AH110/(AH257+AH258))</f>
        <v>23.082421547114677</v>
      </c>
      <c r="AK207" s="110"/>
      <c r="AM207" s="110"/>
      <c r="AO207" s="110"/>
      <c r="AQ207" s="110"/>
    </row>
    <row r="208" spans="1:43" x14ac:dyDescent="0.2">
      <c r="AK208" s="110"/>
      <c r="AM208" s="110"/>
      <c r="AO208" s="110"/>
      <c r="AQ208" s="110"/>
    </row>
    <row r="209" spans="1:43" hidden="1" outlineLevel="1" x14ac:dyDescent="0.2">
      <c r="A209" s="280" t="s">
        <v>558</v>
      </c>
      <c r="AK209" s="110"/>
      <c r="AM209" s="110"/>
      <c r="AO209" s="110"/>
      <c r="AQ209" s="110"/>
    </row>
    <row r="210" spans="1:43" hidden="1" outlineLevel="1" x14ac:dyDescent="0.2">
      <c r="AK210" s="110"/>
      <c r="AM210" s="110"/>
      <c r="AO210" s="110"/>
      <c r="AQ210" s="110"/>
    </row>
    <row r="211" spans="1:43" ht="25.5" hidden="1" outlineLevel="1" x14ac:dyDescent="0.2">
      <c r="A211" s="298" t="s">
        <v>559</v>
      </c>
      <c r="B211" s="296">
        <f>IF(Aprēķini!B302=0,"-",'Saimnieciskas pamatdarbibas NP'!B46/Aprēķini!B302)</f>
        <v>17.046350361369186</v>
      </c>
      <c r="C211" s="296">
        <f>IF(Aprēķini!C302=0,"-",'Saimnieciskas pamatdarbibas NP'!C46/Aprēķini!C302)</f>
        <v>9.8206975080409507</v>
      </c>
      <c r="D211" s="296">
        <f>IF(Aprēķini!D302=0,"-",'Saimnieciskas pamatdarbibas NP'!D46/Aprēķini!D302)</f>
        <v>8.2706932439073881</v>
      </c>
      <c r="E211" s="296">
        <f>IF(Aprēķini!E302=0,"-",'Saimnieciskas pamatdarbibas NP'!E46/Aprēķini!E302)</f>
        <v>5.9767244835569446</v>
      </c>
      <c r="F211" s="296">
        <f>IF(Aprēķini!F302=0,"-",'Saimnieciskas pamatdarbibas NP'!F46/Aprēķini!F302)</f>
        <v>4.6086002230884224</v>
      </c>
      <c r="G211" s="296">
        <f>IF(Aprēķini!G302=0,"-",'Saimnieciskas pamatdarbibas NP'!G46/Aprēķini!G302)</f>
        <v>3.7375127881077725</v>
      </c>
      <c r="H211" s="296">
        <f>IF(Aprēķini!H302=0,"-",'Saimnieciskas pamatdarbibas NP'!H46/Aprēķini!H302)</f>
        <v>3.1410294352289423</v>
      </c>
      <c r="I211" s="296">
        <f>IF(Aprēķini!I302=0,"-",'Saimnieciskas pamatdarbibas NP'!I46/Aprēķini!I302)</f>
        <v>2.7086088782801321</v>
      </c>
      <c r="J211" s="296">
        <f>IF(Aprēķini!J302=0,"-",'Saimnieciskas pamatdarbibas NP'!J46/Aprēķini!J302)</f>
        <v>2.3726659949812059</v>
      </c>
      <c r="K211" s="296">
        <f>IF(Aprēķini!K302=0,"-",'Saimnieciskas pamatdarbibas NP'!K46/Aprēķini!K302)</f>
        <v>2.125733009370073</v>
      </c>
      <c r="L211" s="296">
        <f>IF(Aprēķini!L302=0,"-",'Saimnieciskas pamatdarbibas NP'!L46/Aprēķini!L302)</f>
        <v>1.9258015992630957</v>
      </c>
      <c r="M211" s="296">
        <f>IF(Aprēķini!M302=0,"-",'Saimnieciskas pamatdarbibas NP'!M46/Aprēķini!M302)</f>
        <v>1.7550102024752139</v>
      </c>
      <c r="N211" s="296">
        <f>IF(Aprēķini!N302=0,"-",'Saimnieciskas pamatdarbibas NP'!N46/Aprēķini!N302)</f>
        <v>1.5804513556616289</v>
      </c>
      <c r="O211" s="296">
        <f>IF(Aprēķini!O302=0,"-",'Saimnieciskas pamatdarbibas NP'!O46/Aprēķini!O302)</f>
        <v>1.3754091638544605</v>
      </c>
      <c r="P211" s="296">
        <f>IF(Aprēķini!P302=0,"-",'Saimnieciskas pamatdarbibas NP'!P46/Aprēķini!P302)</f>
        <v>1.2799242740167283</v>
      </c>
      <c r="Q211" s="296">
        <f>IF(Aprēķini!Q302=0,"-",'Saimnieciskas pamatdarbibas NP'!Q46/Aprēķini!Q302)</f>
        <v>1.1815351585599096</v>
      </c>
      <c r="R211" s="296">
        <f>IF(Aprēķini!R302=0,"-",'Saimnieciskas pamatdarbibas NP'!R46/Aprēķini!R302)</f>
        <v>0.7564570939229458</v>
      </c>
      <c r="S211" s="296">
        <f>IF(Aprēķini!S302=0,"-",'Saimnieciskas pamatdarbibas NP'!S46/Aprēķini!S302)</f>
        <v>0.64544539086319153</v>
      </c>
      <c r="T211" s="296">
        <f>IF(Aprēķini!T302=0,"-",'Saimnieciskas pamatdarbibas NP'!T46/Aprēķini!T302)</f>
        <v>0.61341731151991963</v>
      </c>
      <c r="U211" s="296">
        <f>IF(Aprēķini!U302=0,"-",'Saimnieciskas pamatdarbibas NP'!U46/Aprēķini!U302)</f>
        <v>0.58311635823282049</v>
      </c>
      <c r="V211" s="296">
        <f>IF(Aprēķini!V302=0,"-",'Saimnieciskas pamatdarbibas NP'!V46/Aprēķini!V302)</f>
        <v>0.5581883161830169</v>
      </c>
      <c r="W211" s="296">
        <f>IF(Aprēķini!W302=0,"-",'Saimnieciskas pamatdarbibas NP'!W46/Aprēķini!W302)</f>
        <v>0.5336424516435172</v>
      </c>
      <c r="X211" s="296">
        <f>IF(Aprēķini!X302=0,"-",'Saimnieciskas pamatdarbibas NP'!X46/Aprēķini!X302)</f>
        <v>0.51003138897941924</v>
      </c>
      <c r="Y211" s="296">
        <f>IF(Aprēķini!Y302=0,"-",'Saimnieciskas pamatdarbibas NP'!Y46/Aprēķini!Y302)</f>
        <v>0.48917607969705595</v>
      </c>
      <c r="Z211" s="296">
        <f>IF(Aprēķini!Z302=0,"-",'Saimnieciskas pamatdarbibas NP'!Z46/Aprēķini!Z302)</f>
        <v>0.46987450391766</v>
      </c>
      <c r="AA211" s="296">
        <f>IF(Aprēķini!AA302=0,"-",'Saimnieciskas pamatdarbibas NP'!AA46/Aprēķini!AA302)</f>
        <v>0.4511164809896181</v>
      </c>
      <c r="AB211" s="296">
        <f>IF(Aprēķini!AB302=0,"-",'Saimnieciskas pamatdarbibas NP'!AB46/Aprēķini!AB302)</f>
        <v>0.43456927044547611</v>
      </c>
      <c r="AC211" s="296">
        <f>IF(Aprēķini!AC302=0,"-",'Saimnieciskas pamatdarbibas NP'!AC46/Aprēķini!AC302)</f>
        <v>0.41780816638149376</v>
      </c>
      <c r="AD211" s="296">
        <f>IF(Aprēķini!AD302=0,"-",'Saimnieciskas pamatdarbibas NP'!AD46/Aprēķini!AD302)</f>
        <v>0.40092662527417738</v>
      </c>
      <c r="AE211" s="296">
        <f>IF(Aprēķini!AE302=0,"-",'Saimnieciskas pamatdarbibas NP'!AE46/Aprēķini!AE302)</f>
        <v>0.38592266912143519</v>
      </c>
      <c r="AF211" s="296">
        <f>IF(Aprēķini!AF302=0,"-",'Saimnieciskas pamatdarbibas NP'!AF46/Aprēķini!AF302)</f>
        <v>0.37226186132202932</v>
      </c>
      <c r="AG211" s="296">
        <f>IF(Aprēķini!AG302=0,"-",'Saimnieciskas pamatdarbibas NP'!AG46/Aprēķini!AG302)</f>
        <v>0.35944075184092472</v>
      </c>
      <c r="AH211" s="296">
        <f>IF(Aprēķini!AH302=0,"-",'Saimnieciskas pamatdarbibas NP'!AH46/Aprēķini!AH302)</f>
        <v>0.34738730901181786</v>
      </c>
      <c r="AK211" s="110"/>
      <c r="AM211" s="110"/>
      <c r="AO211" s="110"/>
      <c r="AQ211" s="110"/>
    </row>
    <row r="212" spans="1:43" hidden="1" outlineLevel="1" x14ac:dyDescent="0.2">
      <c r="AK212" s="110"/>
      <c r="AM212" s="110"/>
      <c r="AO212" s="110"/>
      <c r="AQ212" s="110"/>
    </row>
    <row r="213" spans="1:43" ht="25.5" hidden="1" outlineLevel="1" x14ac:dyDescent="0.2">
      <c r="A213" s="298" t="s">
        <v>560</v>
      </c>
      <c r="B213" s="296">
        <f>IF(Aprēķini!B300=0,"-",'Saimnieciskas pamatdarbibas NP'!B46/Aprēķini!B300)</f>
        <v>0.55467503305347898</v>
      </c>
      <c r="C213" s="296">
        <f>IF(Aprēķini!C300=0,"-",'Saimnieciskas pamatdarbibas NP'!C46/Aprēķini!C300)</f>
        <v>0.43627348755981427</v>
      </c>
      <c r="D213" s="296">
        <f>IF(Aprēķini!D300=0,"-",'Saimnieciskas pamatdarbibas NP'!D46/Aprēķini!D300)</f>
        <v>0.34291513039729288</v>
      </c>
      <c r="E213" s="296">
        <f>IF(Aprēķini!E300=0,"-",'Saimnieciskas pamatdarbibas NP'!E46/Aprēķini!E300)</f>
        <v>0.24924441043593057</v>
      </c>
      <c r="F213" s="296">
        <f>IF(Aprēķini!F300=0,"-",'Saimnieciskas pamatdarbibas NP'!F46/Aprēķini!F300)</f>
        <v>0.19604000070240188</v>
      </c>
      <c r="G213" s="296">
        <f>IF(Aprēķini!G300=0,"-",'Saimnieciskas pamatdarbibas NP'!G46/Aprēķini!G300)</f>
        <v>0.16135711816644641</v>
      </c>
      <c r="H213" s="296">
        <f>IF(Aprēķini!H300=0,"-",'Saimnieciskas pamatdarbibas NP'!H46/Aprēķini!H300)</f>
        <v>0.1372302241221679</v>
      </c>
      <c r="I213" s="296">
        <f>IF(Aprēķini!I300=0,"-",'Saimnieciskas pamatdarbibas NP'!I46/Aprēķini!I300)</f>
        <v>0.11954568671241529</v>
      </c>
      <c r="J213" s="296">
        <f>IF(Aprēķini!J300=0,"-",'Saimnieciskas pamatdarbibas NP'!J46/Aprēķini!J300)</f>
        <v>0.10554041728317141</v>
      </c>
      <c r="K213" s="296">
        <f>IF(Aprēķini!K300=0,"-",'Saimnieciskas pamatdarbibas NP'!K46/Aprēķini!K300)</f>
        <v>9.4599913186974721E-2</v>
      </c>
      <c r="L213" s="296">
        <f>IF(Aprēķini!L300=0,"-",'Saimnieciskas pamatdarbibas NP'!L46/Aprēķini!L300)</f>
        <v>8.5840519562621231E-2</v>
      </c>
      <c r="M213" s="296">
        <f>IF(Aprēķini!M300=0,"-",'Saimnieciskas pamatdarbibas NP'!M46/Aprēķini!M300)</f>
        <v>7.842424825043004E-2</v>
      </c>
      <c r="N213" s="296">
        <f>IF(Aprēķini!N300=0,"-",'Saimnieciskas pamatdarbibas NP'!N46/Aprēķini!N300)</f>
        <v>7.0920975340464237E-2</v>
      </c>
      <c r="O213" s="296">
        <f>IF(Aprēķini!O300=0,"-",'Saimnieciskas pamatdarbibas NP'!O46/Aprēķini!O300)</f>
        <v>6.2296450938818367E-2</v>
      </c>
      <c r="P213" s="296">
        <f>IF(Aprēķini!P300=0,"-",'Saimnieciskas pamatdarbibas NP'!P46/Aprēķini!P300)</f>
        <v>5.8501518894344427E-2</v>
      </c>
      <c r="Q213" s="296">
        <f>IF(Aprēķini!Q300=0,"-",'Saimnieciskas pamatdarbibas NP'!Q46/Aprēķini!Q300)</f>
        <v>5.4493337471683542E-2</v>
      </c>
      <c r="R213" s="296">
        <f>IF(Aprēķini!R300=0,"-",'Saimnieciskas pamatdarbibas NP'!R46/Aprēķini!R300)</f>
        <v>3.5704637673941136E-2</v>
      </c>
      <c r="S213" s="296">
        <f>IF(Aprēķini!S300=0,"-",'Saimnieciskas pamatdarbibas NP'!S46/Aprēķini!S300)</f>
        <v>3.1190797078897166E-2</v>
      </c>
      <c r="T213" s="296">
        <f>IF(Aprēķini!T300=0,"-",'Saimnieciskas pamatdarbibas NP'!T46/Aprēķini!T300)</f>
        <v>3.0325387797793497E-2</v>
      </c>
      <c r="U213" s="296">
        <f>IF(Aprēķini!U300=0,"-",'Saimnieciskas pamatdarbibas NP'!U46/Aprēķini!U300)</f>
        <v>2.9455211337349744E-2</v>
      </c>
      <c r="V213" s="296">
        <f>IF(Aprēķini!V300=0,"-",'Saimnieciskas pamatdarbibas NP'!V46/Aprēķini!V300)</f>
        <v>2.8787134262199421E-2</v>
      </c>
      <c r="W213" s="296">
        <f>IF(Aprēķini!W300=0,"-",'Saimnieciskas pamatdarbibas NP'!W46/Aprēķini!W300)</f>
        <v>2.8069235774006718E-2</v>
      </c>
      <c r="X213" s="296">
        <f>IF(Aprēķini!X300=0,"-",'Saimnieciskas pamatdarbibas NP'!X46/Aprēķini!X300)</f>
        <v>2.7328753399884269E-2</v>
      </c>
      <c r="Y213" s="296">
        <f>IF(Aprēķini!Y300=0,"-",'Saimnieciskas pamatdarbibas NP'!Y46/Aprēķini!Y300)</f>
        <v>2.6678802962365699E-2</v>
      </c>
      <c r="Z213" s="296">
        <f>IF(Aprēķini!Z300=0,"-",'Saimnieciskas pamatdarbibas NP'!Z46/Aprēķini!Z300)</f>
        <v>2.6064167135548905E-2</v>
      </c>
      <c r="AA213" s="296">
        <f>IF(Aprēķini!AA300=0,"-",'Saimnieciskas pamatdarbibas NP'!AA46/Aprēķini!AA300)</f>
        <v>2.5433473321710327E-2</v>
      </c>
      <c r="AB213" s="296">
        <f>IF(Aprēķini!AB300=0,"-",'Saimnieciskas pamatdarbibas NP'!AB46/Aprēķini!AB300)</f>
        <v>2.4888920079347458E-2</v>
      </c>
      <c r="AC213" s="296">
        <f>IF(Aprēķini!AC300=0,"-",'Saimnieciskas pamatdarbibas NP'!AC46/Aprēķini!AC300)</f>
        <v>2.4318950291006211E-2</v>
      </c>
      <c r="AD213" s="296">
        <f>IF(Aprēķini!AD300=0,"-",'Saimnieciskas pamatdarbibas NP'!AD46/Aprēķini!AD300)</f>
        <v>2.3733747367983345E-2</v>
      </c>
      <c r="AE213" s="296">
        <f>IF(Aprēķini!AE300=0,"-",'Saimnieciskas pamatdarbibas NP'!AE46/Aprēķini!AE300)</f>
        <v>2.3220386062562458E-2</v>
      </c>
      <c r="AF213" s="296">
        <f>IF(Aprēķini!AF300=0,"-",'Saimnieciskas pamatdarbibas NP'!AF46/Aprēķini!AF300)</f>
        <v>2.277324599671653E-2</v>
      </c>
      <c r="AG213" s="296">
        <f>IF(Aprēķini!AG300=0,"-",'Saimnieciskas pamatdarbibas NP'!AG46/Aprēķini!AG300)</f>
        <v>2.2345856989780786E-2</v>
      </c>
      <c r="AH213" s="296">
        <f>IF(Aprēķini!AH300=0,"-",'Saimnieciskas pamatdarbibas NP'!AH46/Aprēķini!AH300)</f>
        <v>2.1936902065135547E-2</v>
      </c>
      <c r="AK213" s="110"/>
      <c r="AM213" s="110"/>
      <c r="AO213" s="110"/>
      <c r="AQ213" s="110"/>
    </row>
    <row r="214" spans="1:43" hidden="1" outlineLevel="1" x14ac:dyDescent="0.2">
      <c r="AK214" s="110"/>
      <c r="AM214" s="110"/>
      <c r="AO214" s="110"/>
      <c r="AQ214" s="110"/>
    </row>
    <row r="215" spans="1:43" ht="25.5" hidden="1" outlineLevel="1" x14ac:dyDescent="0.2">
      <c r="A215" s="298" t="s">
        <v>561</v>
      </c>
      <c r="B215" s="296">
        <f>IF(Aprēķini!B303=0,"-",'Saimnieciskas pamatdarbibas NP'!B46/Aprēķini!B303)</f>
        <v>2.5112361321825039E-2</v>
      </c>
      <c r="C215" s="296">
        <f>IF(Aprēķini!C303=0,"-",'Saimnieciskas pamatdarbibas NP'!C46/Aprēķini!C303)</f>
        <v>2.7146676409085902E-2</v>
      </c>
      <c r="D215" s="296">
        <f>IF(Aprēķini!D303=0,"-",'Saimnieciskas pamatdarbibas NP'!D46/Aprēķini!D303)</f>
        <v>3.492507148885541E-2</v>
      </c>
      <c r="E215" s="296">
        <f>IF(Aprēķini!E303=0,"-",'Saimnieciskas pamatdarbibas NP'!E46/Aprēķini!E303)</f>
        <v>3.4789138332943441E-2</v>
      </c>
      <c r="F215" s="296">
        <f>IF(Aprēķini!F303=0,"-",'Saimnieciskas pamatdarbibas NP'!F46/Aprēķini!F303)</f>
        <v>3.4716409956673452E-2</v>
      </c>
      <c r="G215" s="296">
        <f>IF(Aprēķini!G303=0,"-",'Saimnieciskas pamatdarbibas NP'!G46/Aprēķini!G303)</f>
        <v>3.457444854033942E-2</v>
      </c>
      <c r="H215" s="296">
        <f>IF(Aprēķini!H303=0,"-",'Saimnieciskas pamatdarbibas NP'!H46/Aprēķini!H303)</f>
        <v>3.445919684383545E-2</v>
      </c>
      <c r="I215" s="296">
        <f>IF(Aprēķini!I303=0,"-",'Saimnieciskas pamatdarbibas NP'!I46/Aprēķini!I303)</f>
        <v>3.4379268441859387E-2</v>
      </c>
      <c r="J215" s="296">
        <f>IF(Aprēķini!J303=0,"-",'Saimnieciskas pamatdarbibas NP'!J46/Aprēķini!J303)</f>
        <v>3.4202154710511253E-2</v>
      </c>
      <c r="K215" s="296">
        <f>IF(Aprēķini!K303=0,"-",'Saimnieciskas pamatdarbibas NP'!K46/Aprēķini!K303)</f>
        <v>3.4065763376107366E-2</v>
      </c>
      <c r="L215" s="296">
        <f>IF(Aprēķini!L303=0,"-",'Saimnieciskas pamatdarbibas NP'!L46/Aprēķini!L303)</f>
        <v>3.3972566424857416E-2</v>
      </c>
      <c r="M215" s="296">
        <f>IF(Aprēķini!M303=0,"-",'Saimnieciskas pamatdarbibas NP'!M46/Aprēķini!M303)</f>
        <v>3.380258497140496E-2</v>
      </c>
      <c r="N215" s="296">
        <f>IF(Aprēķini!N303=0,"-",'Saimnieciskas pamatdarbibas NP'!N46/Aprēķini!N303)</f>
        <v>3.2992180893123127E-2</v>
      </c>
      <c r="O215" s="296">
        <f>IF(Aprēķini!O303=0,"-",'Saimnieciskas pamatdarbibas NP'!O46/Aprēķini!O303)</f>
        <v>3.0897000711581482E-2</v>
      </c>
      <c r="P215" s="296">
        <f>IF(Aprēķini!P303=0,"-",'Saimnieciskas pamatdarbibas NP'!P46/Aprēķini!P303)</f>
        <v>3.0795253249103888E-2</v>
      </c>
      <c r="Q215" s="296">
        <f>IF(Aprēķini!Q303=0,"-",'Saimnieciskas pamatdarbibas NP'!Q46/Aprēķini!Q303)</f>
        <v>3.0312933059071765E-2</v>
      </c>
      <c r="R215" s="296">
        <f>IF(Aprēķini!R303=0,"-",'Saimnieciskas pamatdarbibas NP'!R46/Aprēķini!R303)</f>
        <v>2.0570346560197354E-2</v>
      </c>
      <c r="S215" s="296">
        <f>IF(Aprēķini!S303=0,"-",'Saimnieciskas pamatdarbibas NP'!S46/Aprēķini!S303)</f>
        <v>1.8527468517321819E-2</v>
      </c>
      <c r="T215" s="296">
        <f>IF(Aprēķini!T303=0,"-",'Saimnieciskas pamatdarbibas NP'!T46/Aprēķini!T303)</f>
        <v>1.8544216680784292E-2</v>
      </c>
      <c r="U215" s="296">
        <f>IF(Aprēķini!U303=0,"-",'Saimnieciskas pamatdarbibas NP'!U46/Aprēķini!U303)</f>
        <v>1.8522505449500737E-2</v>
      </c>
      <c r="V215" s="296">
        <f>IF(Aprēķini!V303=0,"-",'Saimnieciskas pamatdarbibas NP'!V46/Aprēķini!V303)</f>
        <v>1.85966063846516E-2</v>
      </c>
      <c r="W215" s="296">
        <f>IF(Aprēķini!W303=0,"-",'Saimnieciskas pamatdarbibas NP'!W46/Aprēķini!W303)</f>
        <v>1.8609804183106447E-2</v>
      </c>
      <c r="X215" s="296">
        <f>IF(Aprēķini!X303=0,"-",'Saimnieciskas pamatdarbibas NP'!X46/Aprēķini!X303)</f>
        <v>1.8580520158762551E-2</v>
      </c>
      <c r="Y215" s="296">
        <f>IF(Aprēķini!Y303=0,"-",'Saimnieciskas pamatdarbibas NP'!Y46/Aprēķini!Y303)</f>
        <v>1.858420134391155E-2</v>
      </c>
      <c r="Z215" s="296">
        <f>IF(Aprēķini!Z303=0,"-",'Saimnieciskas pamatdarbibas NP'!Z46/Aprēķini!Z303)</f>
        <v>1.8586052607279423E-2</v>
      </c>
      <c r="AA215" s="296">
        <f>IF(Aprēķini!AA303=0,"-",'Saimnieciskas pamatdarbibas NP'!AA46/Aprēķini!AA303)</f>
        <v>1.8550954388960168E-2</v>
      </c>
      <c r="AB215" s="296">
        <f>IF(Aprēķini!AB303=0,"-",'Saimnieciskas pamatdarbibas NP'!AB46/Aprēķini!AB303)</f>
        <v>1.8554581266689404E-2</v>
      </c>
      <c r="AC215" s="296">
        <f>IF(Aprēķini!AC303=0,"-",'Saimnieciskas pamatdarbibas NP'!AC46/Aprēķini!AC303)</f>
        <v>1.8517704388617821E-2</v>
      </c>
      <c r="AD215" s="296">
        <f>IF(Aprēķini!AD303=0,"-",'Saimnieciskas pamatdarbibas NP'!AD46/Aprēķini!AD303)</f>
        <v>1.845327744964332E-2</v>
      </c>
      <c r="AE215" s="296">
        <f>IF(Aprēķini!AE303=0,"-",'Saimnieciskas pamatdarbibas NP'!AE46/Aprēķini!AE303)</f>
        <v>1.8421079076121401E-2</v>
      </c>
      <c r="AF215" s="296">
        <f>IF(Aprēķini!AF303=0,"-",'Saimnieciskas pamatdarbibas NP'!AF46/Aprēķini!AF303)</f>
        <v>1.8416689201607633E-2</v>
      </c>
      <c r="AG215" s="296">
        <f>IF(Aprēķini!AG303=0,"-",'Saimnieciskas pamatdarbibas NP'!AG46/Aprēķini!AG303)</f>
        <v>1.8409801741491021E-2</v>
      </c>
      <c r="AH215" s="296">
        <f>IF(Aprēķini!AH303=0,"-",'Saimnieciskas pamatdarbibas NP'!AH46/Aprēķini!AH303)</f>
        <v>1.8400480739589633E-2</v>
      </c>
      <c r="AK215" s="110"/>
      <c r="AM215" s="110"/>
      <c r="AO215" s="110"/>
      <c r="AQ215" s="110"/>
    </row>
    <row r="216" spans="1:43" hidden="1" outlineLevel="1" x14ac:dyDescent="0.2">
      <c r="AK216" s="110"/>
      <c r="AM216" s="110"/>
      <c r="AO216" s="110"/>
      <c r="AQ216" s="110"/>
    </row>
    <row r="217" spans="1:43" hidden="1" outlineLevel="1" x14ac:dyDescent="0.2">
      <c r="A217" s="280" t="s">
        <v>562</v>
      </c>
      <c r="AK217" s="110"/>
      <c r="AM217" s="110"/>
      <c r="AO217" s="110"/>
      <c r="AQ217" s="110"/>
    </row>
    <row r="218" spans="1:43" hidden="1" outlineLevel="1" x14ac:dyDescent="0.2">
      <c r="AK218" s="110"/>
      <c r="AM218" s="110"/>
      <c r="AO218" s="110"/>
      <c r="AQ218" s="110"/>
    </row>
    <row r="219" spans="1:43" ht="25.5" collapsed="1" x14ac:dyDescent="0.2">
      <c r="A219" s="295" t="s">
        <v>563</v>
      </c>
      <c r="B219" s="296">
        <f>IF(Aprēķini!B303=0,"-",Aprēķini!B305/Aprēķini!B303)</f>
        <v>0.50456168073305618</v>
      </c>
      <c r="C219" s="296">
        <f>IF(Aprēķini!C303=0,"-",Aprēķini!C305/Aprēķini!C303)</f>
        <v>0.45419613591716085</v>
      </c>
      <c r="D219" s="296">
        <f>IF(Aprēķini!D303=0,"-",Aprēķini!D305/Aprēķini!D303)</f>
        <v>0.45491256917888501</v>
      </c>
      <c r="E219" s="296">
        <f>IF(Aprēķini!E303=0,"-",Aprēķini!E305/Aprēķini!E303)</f>
        <v>0.45878869930511046</v>
      </c>
      <c r="F219" s="296">
        <f>IF(Aprēķini!F303=0,"-",Aprēķini!F305/Aprēķini!F303)</f>
        <v>0.46262966794652233</v>
      </c>
      <c r="G219" s="296">
        <f>IF(Aprēķini!G303=0,"-",Aprēķini!G305/Aprēķini!G303)</f>
        <v>0.46648283235425164</v>
      </c>
      <c r="H219" s="296">
        <f>IF(Aprēķini!H303=0,"-",Aprēķini!H305/Aprēķini!H303)</f>
        <v>0.47033204314516619</v>
      </c>
      <c r="I219" s="296">
        <f>IF(Aprēķini!I303=0,"-",Aprēķini!I305/Aprēķini!I303)</f>
        <v>0.47417644410916149</v>
      </c>
      <c r="J219" s="296">
        <f>IF(Aprēķini!J303=0,"-",Aprēķini!J305/Aprēķini!J303)</f>
        <v>0.47818288140104748</v>
      </c>
      <c r="K219" s="296">
        <f>IF(Aprēķini!K303=0,"-",Aprēķini!K305/Aprēķini!K303)</f>
        <v>0.48225080269346576</v>
      </c>
      <c r="L219" s="296">
        <f>IF(Aprēķini!L303=0,"-",Aprēķini!L305/Aprēķini!L303)</f>
        <v>0.48632125335254395</v>
      </c>
      <c r="M219" s="296">
        <f>IF(Aprēķini!M303=0,"-",Aprēķini!M305/Aprēķini!M303)</f>
        <v>0.49037359964228894</v>
      </c>
      <c r="N219" s="296">
        <f>IF(Aprēķini!N303=0,"-",Aprēķini!N305/Aprēķini!N303)</f>
        <v>0.49439095306440772</v>
      </c>
      <c r="O219" s="296">
        <f>IF(Aprēķini!O303=0,"-",Aprēķini!O305/Aprēķini!O303)</f>
        <v>0.4983051723015795</v>
      </c>
      <c r="P219" s="296">
        <f>IF(Aprēķini!P303=0,"-",Aprēķini!P305/Aprēķini!P303)</f>
        <v>0.50221952423232785</v>
      </c>
      <c r="Q219" s="296">
        <f>IF(Aprēķini!Q303=0,"-",Aprēķini!Q305/Aprēķini!Q303)</f>
        <v>0.50626672610446144</v>
      </c>
      <c r="R219" s="296">
        <f>IF(Aprēķini!R303=0,"-",Aprēķini!R305/Aprēķini!R303)</f>
        <v>0.5101844283027579</v>
      </c>
      <c r="S219" s="296">
        <f>IF(Aprēķini!S303=0,"-",Aprēķini!S305/Aprēķini!S303)</f>
        <v>0.51428543666277515</v>
      </c>
      <c r="T219" s="296">
        <f>IF(Aprēķini!T303=0,"-",Aprēķini!T305/Aprēķini!T303)</f>
        <v>0.51816013829317087</v>
      </c>
      <c r="U219" s="296">
        <f>IF(Aprēķini!U303=0,"-",Aprēķini!U305/Aprēķini!U303)</f>
        <v>0.52204137287859231</v>
      </c>
      <c r="V219" s="296">
        <f>IF(Aprēķini!V303=0,"-",Aprēķini!V305/Aprēķini!V303)</f>
        <v>0.5259510917001895</v>
      </c>
      <c r="W219" s="296">
        <f>IF(Aprēķini!W303=0,"-",Aprēķini!W305/Aprēķini!W303)</f>
        <v>0.52987333818226401</v>
      </c>
      <c r="X219" s="296">
        <f>IF(Aprēķini!X303=0,"-",Aprēķini!X305/Aprēķini!X303)</f>
        <v>0.53392126997804956</v>
      </c>
      <c r="Y219" s="296">
        <f>IF(Aprēķini!Y303=0,"-",Aprēķini!Y305/Aprēķini!Y303)</f>
        <v>0.53797462786570116</v>
      </c>
      <c r="Z219" s="296">
        <f>IF(Aprēķini!Z303=0,"-",Aprēķini!Z305/Aprēķini!Z303)</f>
        <v>0.54201571999064235</v>
      </c>
      <c r="AA219" s="296">
        <f>IF(Aprēķini!AA303=0,"-",Aprēķini!AA305/Aprēķini!AA303)</f>
        <v>0.54605938893156736</v>
      </c>
      <c r="AB219" s="296">
        <f>IF(Aprēķini!AB303=0,"-",Aprēķini!AB305/Aprēķini!AB303)</f>
        <v>0.5501009476700528</v>
      </c>
      <c r="AC219" s="296">
        <f>IF(Aprēķini!AC303=0,"-",Aprēķini!AC305/Aprēķini!AC303)</f>
        <v>0.55423607510778616</v>
      </c>
      <c r="AD219" s="296">
        <f>IF(Aprēķini!AD303=0,"-",Aprēķini!AD305/Aprēķini!AD303)</f>
        <v>0.55898514115308229</v>
      </c>
      <c r="AE219" s="296">
        <f>IF(Aprēķini!AE303=0,"-",Aprēķini!AE305/Aprēķini!AE303)</f>
        <v>0.56370521712035582</v>
      </c>
      <c r="AF219" s="296">
        <f>IF(Aprēķini!AF303=0,"-",Aprēķini!AF305/Aprēķini!AF303)</f>
        <v>0.56802858220756458</v>
      </c>
      <c r="AG219" s="296">
        <f>IF(Aprēķini!AG303=0,"-",Aprēķini!AG305/Aprēķini!AG303)</f>
        <v>0.57234161403205253</v>
      </c>
      <c r="AH219" s="296">
        <f>IF(Aprēķini!AH303=0,"-",Aprēķini!AH305/Aprēķini!AH303)</f>
        <v>0.57664277562319888</v>
      </c>
      <c r="AK219" s="110"/>
      <c r="AM219" s="110"/>
      <c r="AO219" s="110"/>
      <c r="AQ219" s="110"/>
    </row>
    <row r="220" spans="1:43" x14ac:dyDescent="0.2">
      <c r="AK220" s="110"/>
      <c r="AM220" s="110"/>
      <c r="AO220" s="110"/>
      <c r="AQ220" s="110"/>
    </row>
    <row r="221" spans="1:43" hidden="1" outlineLevel="1" x14ac:dyDescent="0.2">
      <c r="A221" s="298" t="s">
        <v>564</v>
      </c>
      <c r="B221" s="296">
        <f>IF(Aprēķini!B305=0,"-",(Aprēķini!B310+Aprēķini!B313)/Aprēķini!B305)</f>
        <v>0.89284480639097186</v>
      </c>
      <c r="C221" s="296">
        <f>IF(Aprēķini!C305=0,"-",(Aprēķini!C310+Aprēķini!C313)/Aprēķini!C305)</f>
        <v>1.2016920024664992</v>
      </c>
      <c r="D221" s="296">
        <f>IF(Aprēķini!D305=0,"-",(Aprēķini!D310+Aprēķini!D313)/Aprēķini!D305)</f>
        <v>1.1982245990806435</v>
      </c>
      <c r="E221" s="296">
        <f>IF(Aprēķini!E305=0,"-",(Aprēķini!E310+Aprēķini!E313)/Aprēķini!E305)</f>
        <v>1.1796526407791166</v>
      </c>
      <c r="F221" s="296">
        <f>IF(Aprēķini!F305=0,"-",(Aprēķini!F310+Aprēķini!F313)/Aprēķini!F305)</f>
        <v>1.1615561415218081</v>
      </c>
      <c r="G221" s="296">
        <f>IF(Aprēķini!G305=0,"-",(Aprēķini!G310+Aprēķini!G313)/Aprēķini!G305)</f>
        <v>1.1437016126685455</v>
      </c>
      <c r="H221" s="296">
        <f>IF(Aprēķini!H305=0,"-",(Aprēķini!H310+Aprēķini!H313)/Aprēķini!H305)</f>
        <v>1.1261574978240507</v>
      </c>
      <c r="I221" s="296">
        <f>IF(Aprēķini!I305=0,"-",(Aprēķini!I310+Aprēķini!I313)/Aprēķini!I305)</f>
        <v>1.1089196066639431</v>
      </c>
      <c r="J221" s="296">
        <f>IF(Aprēķini!J305=0,"-",(Aprēķini!J310+Aprēķini!J313)/Aprēķini!J305)</f>
        <v>1.0912501030360171</v>
      </c>
      <c r="K221" s="296">
        <f>IF(Aprēķini!K305=0,"-",(Aprēķini!K310+Aprēķini!K313)/Aprēķini!K305)</f>
        <v>1.0736098196515234</v>
      </c>
      <c r="L221" s="296">
        <f>IF(Aprēķini!L305=0,"-",(Aprēķini!L310+Aprēķini!L313)/Aprēķini!L305)</f>
        <v>1.0562539537524183</v>
      </c>
      <c r="M221" s="296">
        <f>IF(Aprēķini!M305=0,"-",(Aprēķini!M310+Aprēķini!M313)/Aprēķini!M305)</f>
        <v>1.0392614951732033</v>
      </c>
      <c r="N221" s="296">
        <f>IF(Aprēķini!N305=0,"-",(Aprēķini!N310+Aprēķini!N313)/Aprēķini!N305)</f>
        <v>1.0226907345323593</v>
      </c>
      <c r="O221" s="296">
        <f>IF(Aprēķini!O305=0,"-",(Aprēķini!O310+Aprēķini!O313)/Aprēķini!O305)</f>
        <v>1.0068023684787073</v>
      </c>
      <c r="P221" s="296">
        <f>IF(Aprēķini!P305=0,"-",(Aprēķini!P310+Aprēķini!P313)/Aprēķini!P305)</f>
        <v>0.99116113920214277</v>
      </c>
      <c r="Q221" s="296">
        <f>IF(Aprēķini!Q305=0,"-",(Aprēķini!Q310+Aprēķini!Q313)/Aprēķini!Q305)</f>
        <v>0.9752433814772633</v>
      </c>
      <c r="R221" s="296">
        <f>IF(Aprēķini!R305=0,"-",(Aprēķini!R310+Aprēķini!R313)/Aprēķini!R305)</f>
        <v>0.96007550314054579</v>
      </c>
      <c r="S221" s="296">
        <f>IF(Aprēķini!S305=0,"-",(Aprēķini!S310+Aprēķini!S313)/Aprēķini!S305)</f>
        <v>0.94444549409964218</v>
      </c>
      <c r="T221" s="296">
        <f>IF(Aprēķini!T305=0,"-",(Aprēķini!T310+Aprēķini!T313)/Aprēķini!T305)</f>
        <v>0.929905305518133</v>
      </c>
      <c r="U221" s="296">
        <f>IF(Aprēķini!U305=0,"-",(Aprēķini!U310+Aprēķini!U313)/Aprēķini!U305)</f>
        <v>0.91555698830131482</v>
      </c>
      <c r="V221" s="296">
        <f>IF(Aprēķini!V305=0,"-",(Aprēķini!V310+Aprēķini!V313)/Aprēķini!V305)</f>
        <v>0.90131747187252698</v>
      </c>
      <c r="W221" s="296">
        <f>IF(Aprēķini!W305=0,"-",(Aprēķini!W310+Aprēķini!W313)/Aprēķini!W305)</f>
        <v>0.88724347488497968</v>
      </c>
      <c r="X221" s="296">
        <f>IF(Aprēķini!X305=0,"-",(Aprēķini!X310+Aprēķini!X313)/Aprēķini!X305)</f>
        <v>0.87293531130743629</v>
      </c>
      <c r="Y221" s="296">
        <f>IF(Aprēķini!Y305=0,"-",(Aprēķini!Y310+Aprēķini!Y313)/Aprēķini!Y305)</f>
        <v>0.85882372179387945</v>
      </c>
      <c r="Z221" s="296">
        <f>IF(Aprēķini!Z305=0,"-",(Aprēķini!Z310+Aprēķini!Z313)/Aprēķini!Z305)</f>
        <v>0.84496493942512341</v>
      </c>
      <c r="AA221" s="296">
        <f>IF(Aprēķini!AA305=0,"-",(Aprēķini!AA310+Aprēķini!AA313)/Aprēķini!AA305)</f>
        <v>0.8313026389979733</v>
      </c>
      <c r="AB221" s="296">
        <f>IF(Aprēķini!AB305=0,"-",(Aprēķini!AB310+Aprēķini!AB313)/Aprēķini!AB305)</f>
        <v>0.81784816811439842</v>
      </c>
      <c r="AC221" s="296">
        <f>IF(Aprēķini!AC305=0,"-",(Aprēķini!AC310+Aprēķini!AC313)/Aprēķini!AC305)</f>
        <v>0.80428529450292996</v>
      </c>
      <c r="AD221" s="296">
        <f>IF(Aprēķini!AD305=0,"-",(Aprēķini!AD310+Aprēķini!AD313)/Aprēķini!AD305)</f>
        <v>0.78895631811819933</v>
      </c>
      <c r="AE221" s="296">
        <f>IF(Aprēķini!AE305=0,"-",(Aprēķini!AE310+Aprēķini!AE313)/Aprēķini!AE305)</f>
        <v>0.77397684042809123</v>
      </c>
      <c r="AF221" s="296">
        <f>IF(Aprēķini!AF305=0,"-",(Aprēķini!AF310+Aprēķini!AF313)/Aprēķini!AF305)</f>
        <v>0.76047479180297273</v>
      </c>
      <c r="AG221" s="296">
        <f>IF(Aprēķini!AG305=0,"-",(Aprēķini!AG310+Aprēķini!AG313)/Aprēķini!AG305)</f>
        <v>0.74720826772522198</v>
      </c>
      <c r="AH221" s="296">
        <f>IF(Aprēķini!AH305=0,"-",(Aprēķini!AH310+Aprēķini!AH313)/Aprēķini!AH305)</f>
        <v>0.73417589237854131</v>
      </c>
      <c r="AK221" s="110"/>
      <c r="AM221" s="110"/>
      <c r="AO221" s="110"/>
      <c r="AQ221" s="110"/>
    </row>
    <row r="222" spans="1:43" hidden="1" outlineLevel="1" x14ac:dyDescent="0.2">
      <c r="AK222" s="110"/>
      <c r="AM222" s="110"/>
      <c r="AO222" s="110"/>
      <c r="AQ222" s="110"/>
    </row>
    <row r="223" spans="1:43" ht="25.5" hidden="1" outlineLevel="1" x14ac:dyDescent="0.2">
      <c r="A223" s="298" t="s">
        <v>565</v>
      </c>
      <c r="B223" s="296">
        <f>IF(Aprēķini!B305=0,"-",Aprēķini!B296/Aprēķini!B305)</f>
        <v>1.892188863066641</v>
      </c>
      <c r="C223" s="296">
        <f>IF(Aprēķini!C305=0,"-",Aprēķini!C296/Aprēķini!C305)</f>
        <v>2.064693944945903</v>
      </c>
      <c r="D223" s="296">
        <f>IF(Aprēķini!D305=0,"-",Aprēķini!D296/Aprēķini!D305)</f>
        <v>1.9743407734165366</v>
      </c>
      <c r="E223" s="296">
        <f>IF(Aprēķini!E305=0,"-",Aprēķini!E296/Aprēķini!E305)</f>
        <v>1.8754201923755356</v>
      </c>
      <c r="F223" s="296">
        <f>IF(Aprēķini!F305=0,"-",Aprēķini!F296/Aprēķini!F305)</f>
        <v>1.7787696240530955</v>
      </c>
      <c r="G223" s="296">
        <f>IF(Aprēķini!G305=0,"-",Aprēķini!G296/Aprēķini!G305)</f>
        <v>1.6843645723490954</v>
      </c>
      <c r="H223" s="296">
        <f>IF(Aprēķini!H305=0,"-",Aprēķini!H296/Aprēķini!H305)</f>
        <v>1.5922686973999434</v>
      </c>
      <c r="I223" s="296">
        <f>IF(Aprēķini!I305=0,"-",Aprēķini!I296/Aprēķini!I305)</f>
        <v>1.5024308635425196</v>
      </c>
      <c r="J223" s="296">
        <f>IF(Aprēķini!J305=0,"-",Aprēķini!J296/Aprēķini!J305)</f>
        <v>1.4135451876716618</v>
      </c>
      <c r="K223" s="296">
        <f>IF(Aprēķini!K305=0,"-",Aprēķini!K296/Aprēķini!K305)</f>
        <v>1.3268955884132267</v>
      </c>
      <c r="L223" s="296">
        <f>IF(Aprēķini!L305=0,"-",Aprēķini!L296/Aprēķini!L305)</f>
        <v>1.2424631660665502</v>
      </c>
      <c r="M223" s="296">
        <f>IF(Aprēķini!M305=0,"-",Aprēķini!M296/Aprēķini!M305)</f>
        <v>1.1602947022829884</v>
      </c>
      <c r="N223" s="296">
        <f>IF(Aprēķini!N305=0,"-",Aprēķini!N296/Aprēķini!N305)</f>
        <v>1.0817423298583344</v>
      </c>
      <c r="O223" s="296">
        <f>IF(Aprēķini!O305=0,"-",Aprēķini!O296/Aprēķini!O305)</f>
        <v>1.0114940760723774</v>
      </c>
      <c r="P223" s="296">
        <f>IF(Aprēķini!P305=0,"-",Aprēķini!P296/Aprēķini!P305)</f>
        <v>0.94301208768354938</v>
      </c>
      <c r="Q223" s="296">
        <f>IF(Aprēķini!Q305=0,"-",Aprēķini!Q296/Aprēķini!Q305)</f>
        <v>0.87647749235902039</v>
      </c>
      <c r="R223" s="296">
        <f>IF(Aprēķini!R305=0,"-",Aprēķini!R296/Aprēķini!R305)</f>
        <v>0.83082633523255789</v>
      </c>
      <c r="S223" s="296">
        <f>IF(Aprēķini!S305=0,"-",Aprēķini!S296/Aprēķini!S305)</f>
        <v>0.78943645138577889</v>
      </c>
      <c r="T223" s="296">
        <f>IF(Aprēķini!T305=0,"-",Aprēķini!T296/Aprēķini!T305)</f>
        <v>0.74975280763226981</v>
      </c>
      <c r="U223" s="296">
        <f>IF(Aprēķini!U305=0,"-",Aprēķini!U296/Aprēķini!U305)</f>
        <v>0.71098526249434779</v>
      </c>
      <c r="V223" s="296">
        <f>IF(Aprēķini!V305=0,"-",Aprēķini!V296/Aprēķini!V305)</f>
        <v>0.67305861447374882</v>
      </c>
      <c r="W223" s="296">
        <f>IF(Aprēķini!W305=0,"-",Aprēķini!W296/Aprēķini!W305)</f>
        <v>0.63600771641169174</v>
      </c>
      <c r="X223" s="296">
        <f>IF(Aprēķini!X305=0,"-",Aprēķini!X296/Aprēķini!X305)</f>
        <v>0.59954710370798503</v>
      </c>
      <c r="Y223" s="296">
        <f>IF(Aprēķini!Y305=0,"-",Aprēķini!Y296/Aprēķini!Y305)</f>
        <v>0.56398473080216038</v>
      </c>
      <c r="Z223" s="296">
        <f>IF(Aprēķini!Z305=0,"-",Aprēķini!Z296/Aprēķini!Z305)</f>
        <v>0.52934202907428807</v>
      </c>
      <c r="AA223" s="296">
        <f>IF(Aprēķini!AA305=0,"-",Aprēķini!AA296/Aprēķini!AA305)</f>
        <v>0.49556641065378909</v>
      </c>
      <c r="AB223" s="296">
        <f>IF(Aprēķini!AB305=0,"-",Aprēķini!AB296/Aprēķini!AB305)</f>
        <v>0.46265029459278462</v>
      </c>
      <c r="AC223" s="296">
        <f>IF(Aprēķini!AC305=0,"-",Aprēķini!AC296/Aprēķini!AC305)</f>
        <v>0.43040931233556401</v>
      </c>
      <c r="AD223" s="296">
        <f>IF(Aprēķini!AD305=0,"-",Aprēķini!AD296/Aprēķini!AD305)</f>
        <v>0.39802100682131558</v>
      </c>
      <c r="AE223" s="296">
        <f>IF(Aprēķini!AE305=0,"-",Aprēķini!AE296/Aprēķini!AE305)</f>
        <v>0.36665451733284532</v>
      </c>
      <c r="AF223" s="296">
        <f>IF(Aprēķini!AF305=0,"-",Aprēķini!AF296/Aprēķini!AF305)</f>
        <v>0.33678152064720923</v>
      </c>
      <c r="AG223" s="296">
        <f>IF(Aprēķini!AG305=0,"-",Aprēķini!AG296/Aprēķini!AG305)</f>
        <v>0.3077576427335128</v>
      </c>
      <c r="AH223" s="296">
        <f>IF(Aprēķini!AH305=0,"-",Aprēķini!AH296/Aprēķini!AH305)</f>
        <v>0.27956438834642683</v>
      </c>
      <c r="AK223" s="110"/>
      <c r="AM223" s="110"/>
      <c r="AO223" s="110"/>
      <c r="AQ223" s="110"/>
    </row>
    <row r="224" spans="1:43" hidden="1" outlineLevel="1" x14ac:dyDescent="0.2">
      <c r="AK224" s="110"/>
      <c r="AM224" s="110"/>
      <c r="AO224" s="110"/>
      <c r="AQ224" s="110"/>
    </row>
    <row r="225" spans="1:43" hidden="1" outlineLevel="1" x14ac:dyDescent="0.2">
      <c r="A225" s="280" t="s">
        <v>566</v>
      </c>
      <c r="AK225" s="110"/>
      <c r="AM225" s="110"/>
      <c r="AO225" s="110"/>
      <c r="AQ225" s="110"/>
    </row>
    <row r="226" spans="1:43" hidden="1" outlineLevel="1" x14ac:dyDescent="0.2">
      <c r="AK226" s="110"/>
      <c r="AM226" s="110"/>
      <c r="AO226" s="110"/>
      <c r="AQ226" s="110"/>
    </row>
    <row r="227" spans="1:43" ht="25.5" hidden="1" outlineLevel="1" x14ac:dyDescent="0.2">
      <c r="A227" s="298" t="s">
        <v>567</v>
      </c>
      <c r="B227" s="296">
        <f>IF(Aprēķini!B305=0,"-",Aprēķini!B290/Aprēķini!B305*100)</f>
        <v>-1.4454456501189803</v>
      </c>
      <c r="C227" s="296">
        <f>IF(Aprēķini!C305=0,"-",Aprēķini!C290/Aprēķini!C305*100)</f>
        <v>-0.44617690413712274</v>
      </c>
      <c r="D227" s="296">
        <f>IF(Aprēķini!D305=0,"-",Aprēķini!D290/Aprēķini!D305*100)</f>
        <v>0.65645784267605312</v>
      </c>
      <c r="E227" s="296">
        <f>IF(Aprēķini!E305=0,"-",Aprēķini!E290/Aprēķini!E305*100)</f>
        <v>1.3644543105225468</v>
      </c>
      <c r="F227" s="296">
        <f>IF(Aprēķini!F305=0,"-",Aprēķini!F290/Aprēķini!F305*100)</f>
        <v>1.3678713306556674</v>
      </c>
      <c r="G227" s="296">
        <f>IF(Aprēķini!G305=0,"-",Aprēķini!G290/Aprēķini!G305*100)</f>
        <v>1.3706638336298995</v>
      </c>
      <c r="H227" s="296">
        <f>IF(Aprēķini!H305=0,"-",Aprēķini!H290/Aprēķini!H305*100)</f>
        <v>1.3672317296589087</v>
      </c>
      <c r="I227" s="296">
        <f>IF(Aprēķini!I305=0,"-",Aprēķini!I290/Aprēķini!I305*100)</f>
        <v>1.3636488088975312</v>
      </c>
      <c r="J227" s="296">
        <f>IF(Aprēķini!J305=0,"-",Aprēķini!J290/Aprēķini!J305*100)</f>
        <v>1.4474453421214852</v>
      </c>
      <c r="K227" s="296">
        <f>IF(Aprēķini!K305=0,"-",Aprēķini!K290/Aprēķini!K305*100)</f>
        <v>1.4491010491843925</v>
      </c>
      <c r="L227" s="296">
        <f>IF(Aprēķini!L305=0,"-",Aprēķini!L290/Aprēķini!L305*100)</f>
        <v>1.4488848337193001</v>
      </c>
      <c r="M227" s="296">
        <f>IF(Aprēķini!M305=0,"-",Aprēķini!M290/Aprēķini!M305*100)</f>
        <v>1.4407428245764577</v>
      </c>
      <c r="N227" s="296">
        <f>IF(Aprēķini!N305=0,"-",Aprēķini!N290/Aprēķini!N305*100)</f>
        <v>1.4261582044326864</v>
      </c>
      <c r="O227" s="296">
        <f>IF(Aprēķini!O305=0,"-",Aprēķini!O290/Aprēķini!O305*100)</f>
        <v>1.3849097790792291</v>
      </c>
      <c r="P227" s="296">
        <f>IF(Aprēķini!P305=0,"-",Aprēķini!P290/Aprēķini!P305*100)</f>
        <v>1.3845906750155761</v>
      </c>
      <c r="Q227" s="296">
        <f>IF(Aprēķini!Q305=0,"-",Aprēķini!Q290/Aprēķini!Q305*100)</f>
        <v>1.4368059481545414</v>
      </c>
      <c r="R227" s="296">
        <f>IF(Aprēķini!R305=0,"-",Aprēķini!R290/Aprēķini!R305*100)</f>
        <v>1.385748198896066</v>
      </c>
      <c r="S227" s="296">
        <f>IF(Aprēķini!S305=0,"-",Aprēķini!S290/Aprēķini!S305*100)</f>
        <v>1.4582874432748114</v>
      </c>
      <c r="T227" s="296">
        <f>IF(Aprēķini!T305=0,"-",Aprēķini!T290/Aprēķini!T305*100)</f>
        <v>1.3693910641609583</v>
      </c>
      <c r="U227" s="296">
        <f>IF(Aprēķini!U305=0,"-",Aprēķini!U290/Aprēķini!U305*100)</f>
        <v>1.3725416992538602</v>
      </c>
      <c r="V227" s="296">
        <f>IF(Aprēķini!V305=0,"-",Aprēķini!V290/Aprēķini!V305*100)</f>
        <v>1.38456508151964</v>
      </c>
      <c r="W227" s="296">
        <f>IF(Aprēķini!W305=0,"-",Aprēķini!W290/Aprēķini!W305*100)</f>
        <v>1.3904863810075849</v>
      </c>
      <c r="X227" s="296">
        <f>IF(Aprēķini!X305=0,"-",Aprēķini!X290/Aprēķini!X305*100)</f>
        <v>1.4414397584476348</v>
      </c>
      <c r="Y227" s="296">
        <f>IF(Aprēķini!Y305=0,"-",Aprēķini!Y290/Aprēķini!Y305*100)</f>
        <v>1.4450621567071769</v>
      </c>
      <c r="Z227" s="296">
        <f>IF(Aprēķini!Z305=0,"-",Aprēķini!Z290/Aprēķini!Z305*100)</f>
        <v>1.4418835055328025</v>
      </c>
      <c r="AA227" s="296">
        <f>IF(Aprēķini!AA305=0,"-",Aprēķini!AA290/Aprēķini!AA305*100)</f>
        <v>1.4448024743342238</v>
      </c>
      <c r="AB227" s="296">
        <f>IF(Aprēķini!AB305=0,"-",Aprēķini!AB290/Aprēķini!AB305*100)</f>
        <v>1.4460767318008765</v>
      </c>
      <c r="AC227" s="296">
        <f>IF(Aprēķini!AC305=0,"-",Aprēķini!AC290/Aprēķini!AC305*100)</f>
        <v>1.4857244401711862</v>
      </c>
      <c r="AD227" s="296">
        <f>IF(Aprēķini!AD305=0,"-",Aprēķini!AD290/Aprēķini!AD305*100)</f>
        <v>1.7334081620200139</v>
      </c>
      <c r="AE227" s="296">
        <f>IF(Aprēķini!AE305=0,"-",Aprēķini!AE290/Aprēķini!AE305*100)</f>
        <v>1.725823409441301</v>
      </c>
      <c r="AF227" s="296">
        <f>IF(Aprēķini!AF305=0,"-",Aprēķini!AF290/Aprēķini!AF305*100)</f>
        <v>1.5711045733170022</v>
      </c>
      <c r="AG227" s="296">
        <f>IF(Aprēķini!AG305=0,"-",Aprēķini!AG290/Aprēķini!AG305*100)</f>
        <v>1.5708005382944474</v>
      </c>
      <c r="AH227" s="296">
        <f>IF(Aprēķini!AH305=0,"-",Aprēķini!AH290/Aprēķini!AH305*100)</f>
        <v>1.5701291087249196</v>
      </c>
      <c r="AK227" s="110"/>
      <c r="AM227" s="110"/>
      <c r="AO227" s="110"/>
      <c r="AQ227" s="110"/>
    </row>
    <row r="228" spans="1:43" hidden="1" outlineLevel="1" x14ac:dyDescent="0.2">
      <c r="AK228" s="110"/>
      <c r="AM228" s="110"/>
      <c r="AO228" s="110"/>
      <c r="AQ228" s="110"/>
    </row>
    <row r="229" spans="1:43" ht="25.5" hidden="1" outlineLevel="1" x14ac:dyDescent="0.2">
      <c r="A229" s="298" t="s">
        <v>568</v>
      </c>
      <c r="B229" s="296">
        <f>IF(Aprēķini!B303=0,"-",Aprēķini!B290/Aprēķini!B303*100)</f>
        <v>-0.72931648663231763</v>
      </c>
      <c r="C229" s="296">
        <f>IF(Aprēķini!C303=0,"-",Aprēķini!C290/Aprēķini!C303*100)</f>
        <v>-0.20265182579456265</v>
      </c>
      <c r="D229" s="296">
        <f>IF(Aprēķini!D303=0,"-",Aprēķini!D290/Aprēķini!D303*100)</f>
        <v>0.29863092376939165</v>
      </c>
      <c r="E229" s="296">
        <f>IF(Aprēķini!E303=0,"-",Aprēķini!E290/Aprēķini!E303*100)</f>
        <v>0.62599621838589059</v>
      </c>
      <c r="F229" s="296">
        <f>IF(Aprēķini!F303=0,"-",Aprēķini!F290/Aprēķini!F303*100)</f>
        <v>0.63281785949479907</v>
      </c>
      <c r="G229" s="296">
        <f>IF(Aprēķini!G303=0,"-",Aprēķini!G290/Aprēķini!G303*100)</f>
        <v>0.63939114731721225</v>
      </c>
      <c r="H229" s="296">
        <f>IF(Aprēķini!H303=0,"-",Aprēķini!H290/Aprēķini!H303*100)</f>
        <v>0.64305289286337419</v>
      </c>
      <c r="I229" s="296">
        <f>IF(Aprēķini!I303=0,"-",Aprēķini!I290/Aprēķini!I303*100)</f>
        <v>0.64661014321672483</v>
      </c>
      <c r="J229" s="296">
        <f>IF(Aprēķini!J303=0,"-",Aprēķini!J290/Aprēķini!J303*100)</f>
        <v>0.69214358436617673</v>
      </c>
      <c r="K229" s="296">
        <f>IF(Aprēķini!K303=0,"-",Aprēķini!K290/Aprēķini!K303*100)</f>
        <v>0.69883014415311673</v>
      </c>
      <c r="L229" s="296">
        <f>IF(Aprēķini!L303=0,"-",Aprēķini!L290/Aprēķini!L303*100)</f>
        <v>0.70462348829786225</v>
      </c>
      <c r="M229" s="296">
        <f>IF(Aprēķini!M303=0,"-",Aprēķini!M290/Aprēķini!M303*100)</f>
        <v>0.70650224504635639</v>
      </c>
      <c r="N229" s="296">
        <f>IF(Aprēķini!N303=0,"-",Aprēķini!N290/Aprēķini!N303*100)</f>
        <v>0.70507971391010027</v>
      </c>
      <c r="O229" s="296">
        <f>IF(Aprēķini!O303=0,"-",Aprēķini!O290/Aprēķini!O303*100)</f>
        <v>0.69010770608621763</v>
      </c>
      <c r="P229" s="296">
        <f>IF(Aprēķini!P303=0,"-",Aprēķini!P290/Aprēķini!P303*100)</f>
        <v>0.69536847006284019</v>
      </c>
      <c r="Q229" s="296">
        <f>IF(Aprēķini!Q303=0,"-",Aprēķini!Q290/Aprēķini!Q303*100)</f>
        <v>0.72740704341961626</v>
      </c>
      <c r="R229" s="296">
        <f>IF(Aprēķini!R303=0,"-",Aprēķini!R290/Aprēķini!R303*100)</f>
        <v>0.70698715262536593</v>
      </c>
      <c r="S229" s="296">
        <f>IF(Aprēķini!S303=0,"-",Aprēķini!S290/Aprēķini!S303*100)</f>
        <v>0.74997599454442831</v>
      </c>
      <c r="T229" s="296">
        <f>IF(Aprēķini!T303=0,"-",Aprēķini!T290/Aprēķini!T303*100)</f>
        <v>0.70956386318307463</v>
      </c>
      <c r="U229" s="296">
        <f>IF(Aprēķini!U303=0,"-",Aprēķini!U290/Aprēķini!U303*100)</f>
        <v>0.71652355301160109</v>
      </c>
      <c r="V229" s="296">
        <f>IF(Aprēķini!V303=0,"-",Aprēķini!V290/Aprēķini!V303*100)</f>
        <v>0.72821351615521657</v>
      </c>
      <c r="W229" s="296">
        <f>IF(Aprēķini!W303=0,"-",Aprēķini!W290/Aprēķini!W303*100)</f>
        <v>0.73678166040146453</v>
      </c>
      <c r="X229" s="296">
        <f>IF(Aprēķini!X303=0,"-",Aprēķini!X290/Aprēķini!X303*100)</f>
        <v>0.76961534642721419</v>
      </c>
      <c r="Y229" s="296">
        <f>IF(Aprēķini!Y303=0,"-",Aprēķini!Y290/Aprēķini!Y303*100)</f>
        <v>0.77740677599735108</v>
      </c>
      <c r="Z229" s="296">
        <f>IF(Aprēķini!Z303=0,"-",Aprēķini!Z290/Aprēķini!Z303*100)</f>
        <v>0.78152352639399325</v>
      </c>
      <c r="AA229" s="296">
        <f>IF(Aprēķini!AA303=0,"-",Aprēķini!AA290/Aprēķini!AA303*100)</f>
        <v>0.78894795626176295</v>
      </c>
      <c r="AB229" s="296">
        <f>IF(Aprēķini!AB303=0,"-",Aprēķini!AB290/Aprēķini!AB303*100)</f>
        <v>0.79548818056727499</v>
      </c>
      <c r="AC229" s="296">
        <f>IF(Aprēķini!AC303=0,"-",Aprēķini!AC290/Aprēķini!AC303*100)</f>
        <v>0.82344208241219108</v>
      </c>
      <c r="AD229" s="296">
        <f>IF(Aprēķini!AD303=0,"-",Aprēķini!AD290/Aprēķini!AD303*100)</f>
        <v>0.96894940612266245</v>
      </c>
      <c r="AE229" s="296">
        <f>IF(Aprēķini!AE303=0,"-",Aprēķini!AE290/Aprēķini!AE303*100)</f>
        <v>0.97285565973050125</v>
      </c>
      <c r="AF229" s="296">
        <f>IF(Aprēķini!AF303=0,"-",Aprēķini!AF290/Aprēķini!AF303*100)</f>
        <v>0.89243230328107725</v>
      </c>
      <c r="AG229" s="296">
        <f>IF(Aprēķini!AG303=0,"-",Aprēķini!AG290/Aprēķini!AG303*100)</f>
        <v>0.89903451540986112</v>
      </c>
      <c r="AH229" s="296">
        <f>IF(Aprēķini!AH303=0,"-",Aprēķini!AH290/Aprēķini!AH303*100)</f>
        <v>0.90540360734191716</v>
      </c>
      <c r="AK229" s="110"/>
      <c r="AM229" s="110"/>
      <c r="AO229" s="110"/>
      <c r="AQ229" s="110"/>
    </row>
    <row r="230" spans="1:43" hidden="1" outlineLevel="1" x14ac:dyDescent="0.2">
      <c r="AK230" s="110"/>
      <c r="AM230" s="110"/>
      <c r="AO230" s="110"/>
      <c r="AQ230" s="110"/>
    </row>
    <row r="231" spans="1:43" ht="38.25" hidden="1" outlineLevel="1" x14ac:dyDescent="0.2">
      <c r="A231" s="298" t="s">
        <v>569</v>
      </c>
      <c r="B231" s="296">
        <f>IF(Aprēķini!B296=0,"-",Aprēķini!B290/Aprēķini!B296*100)</f>
        <v>-0.76390136224370797</v>
      </c>
      <c r="C231" s="296">
        <f>IF(Aprēķini!C296=0,"-",Aprēķini!C290/Aprēķini!C296*100)</f>
        <v>-0.21609832548272087</v>
      </c>
      <c r="D231" s="296">
        <f>IF(Aprēķini!D296=0,"-",Aprēķini!D290/Aprēķini!D296*100)</f>
        <v>0.33249469975746526</v>
      </c>
      <c r="E231" s="296">
        <f>IF(Aprēķini!E296=0,"-",Aprēķini!E290/Aprēķini!E296*100)</f>
        <v>0.72754592067937351</v>
      </c>
      <c r="F231" s="296">
        <f>IF(Aprēķini!F296=0,"-",Aprēķini!F290/Aprēķini!F296*100)</f>
        <v>0.76899858877668648</v>
      </c>
      <c r="G231" s="296">
        <f>IF(Aprēķini!G296=0,"-",Aprēķini!G290/Aprēķini!G296*100)</f>
        <v>0.81375722105001647</v>
      </c>
      <c r="H231" s="296">
        <f>IF(Aprēķini!H296=0,"-",Aprēķini!H290/Aprēķini!H296*100)</f>
        <v>0.85866897458418723</v>
      </c>
      <c r="I231" s="296">
        <f>IF(Aprēķini!I296=0,"-",Aprēķini!I290/Aprēķini!I296*100)</f>
        <v>0.90762832552723249</v>
      </c>
      <c r="J231" s="296">
        <f>IF(Aprēķini!J296=0,"-",Aprēķini!J290/Aprēķini!J296*100)</f>
        <v>1.0239823634543035</v>
      </c>
      <c r="K231" s="296">
        <f>IF(Aprēķini!K296=0,"-",Aprēķini!K290/Aprēķini!K296*100)</f>
        <v>1.0920987769032422</v>
      </c>
      <c r="L231" s="296">
        <f>IF(Aprēķini!L296=0,"-",Aprēķini!L290/Aprēķini!L296*100)</f>
        <v>1.1661390641512936</v>
      </c>
      <c r="M231" s="296">
        <f>IF(Aprēķini!M296=0,"-",Aprēķini!M290/Aprēķini!M296*100)</f>
        <v>1.2417042168180734</v>
      </c>
      <c r="N231" s="296">
        <f>IF(Aprēķini!N296=0,"-",Aprēķini!N290/Aprēķini!N296*100)</f>
        <v>1.3183899391451723</v>
      </c>
      <c r="O231" s="296">
        <f>IF(Aprēķini!O296=0,"-",Aprēķini!O290/Aprēķini!O296*100)</f>
        <v>1.3691724072738236</v>
      </c>
      <c r="P231" s="296">
        <f>IF(Aprēķini!P296=0,"-",Aprēķini!P290/Aprēķini!P296*100)</f>
        <v>1.4682639736005263</v>
      </c>
      <c r="Q231" s="296">
        <f>IF(Aprēķini!Q296=0,"-",Aprēķini!Q290/Aprēķini!Q296*100)</f>
        <v>1.6392958868657412</v>
      </c>
      <c r="R231" s="296">
        <f>IF(Aprēķini!R296=0,"-",Aprēķini!R290/Aprēķini!R296*100)</f>
        <v>1.6679155921413822</v>
      </c>
      <c r="S231" s="296">
        <f>IF(Aprēķini!S296=0,"-",Aprēķini!S290/Aprēķini!S296*100)</f>
        <v>1.8472512140970052</v>
      </c>
      <c r="T231" s="296">
        <f>IF(Aprēķini!T296=0,"-",Aprēķini!T290/Aprēķini!T296*100)</f>
        <v>1.82645673376738</v>
      </c>
      <c r="U231" s="296">
        <f>IF(Aprēķini!U296=0,"-",Aprēķini!U290/Aprēķini!U296*100)</f>
        <v>1.9304784102536463</v>
      </c>
      <c r="V231" s="296">
        <f>IF(Aprēķini!V296=0,"-",Aprēķini!V290/Aprēķini!V296*100)</f>
        <v>2.0571240776736865</v>
      </c>
      <c r="W231" s="296">
        <f>IF(Aprēķini!W296=0,"-",Aprēķini!W290/Aprēķini!W296*100)</f>
        <v>2.186272815764887</v>
      </c>
      <c r="X231" s="296">
        <f>IF(Aprēķini!X296=0,"-",Aprēķini!X290/Aprēķini!X296*100)</f>
        <v>2.4042143636969371</v>
      </c>
      <c r="Y231" s="296">
        <f>IF(Aprēķini!Y296=0,"-",Aprēķini!Y290/Aprēķini!Y296*100)</f>
        <v>2.5622363120573359</v>
      </c>
      <c r="Z231" s="296">
        <f>IF(Aprēķini!Z296=0,"-",Aprēķini!Z290/Aprēķini!Z296*100)</f>
        <v>2.723916534748553</v>
      </c>
      <c r="AA231" s="296">
        <f>IF(Aprēķini!AA296=0,"-",Aprēķini!AA290/Aprēķini!AA296*100)</f>
        <v>2.9154568253084991</v>
      </c>
      <c r="AB231" s="296">
        <f>IF(Aprēķini!AB296=0,"-",Aprēķini!AB290/Aprēķini!AB296*100)</f>
        <v>3.1256366821806174</v>
      </c>
      <c r="AC231" s="296">
        <f>IF(Aprēķini!AC296=0,"-",Aprēķini!AC290/Aprēķini!AC296*100)</f>
        <v>3.4518873025982693</v>
      </c>
      <c r="AD231" s="296">
        <f>IF(Aprēķini!AD296=0,"-",Aprēķini!AD290/Aprēķini!AD296*100)</f>
        <v>4.3550670248874495</v>
      </c>
      <c r="AE231" s="296">
        <f>IF(Aprēķini!AE296=0,"-",Aprēķini!AE290/Aprēķini!AE296*100)</f>
        <v>4.706947079216306</v>
      </c>
      <c r="AF231" s="296">
        <f>IF(Aprēķini!AF296=0,"-",Aprēķini!AF290/Aprēķini!AF296*100)</f>
        <v>4.6650557616633321</v>
      </c>
      <c r="AG231" s="296">
        <f>IF(Aprēķini!AG296=0,"-",Aprēķini!AG290/Aprēķini!AG296*100)</f>
        <v>5.1040179679781446</v>
      </c>
      <c r="AH231" s="296">
        <f>IF(Aprēķini!AH296=0,"-",Aprēķini!AH290/Aprēķini!AH296*100)</f>
        <v>5.6163416163694935</v>
      </c>
      <c r="AK231" s="110"/>
      <c r="AM231" s="110"/>
      <c r="AO231" s="110"/>
      <c r="AQ231" s="110"/>
    </row>
    <row r="232" spans="1:43" hidden="1" outlineLevel="1" x14ac:dyDescent="0.2">
      <c r="AK232" s="110"/>
      <c r="AM232" s="110"/>
      <c r="AO232" s="110"/>
      <c r="AQ232" s="110"/>
    </row>
    <row r="233" spans="1:43" collapsed="1" x14ac:dyDescent="0.2">
      <c r="A233" s="295" t="s">
        <v>570</v>
      </c>
      <c r="B233" s="299">
        <f>Aprēķini!B290+'Naudas plūsma'!B11*0.5</f>
        <v>69164.318399999902</v>
      </c>
      <c r="C233" s="299">
        <f>Aprēķini!C290+'Naudas plūsma'!C11*0.5</f>
        <v>108734.20751612997</v>
      </c>
      <c r="D233" s="299">
        <f>Aprēķini!D290+'Naudas plūsma'!D11*0.5</f>
        <v>165932.43473982037</v>
      </c>
      <c r="E233" s="299">
        <f>Aprēķini!E290+'Naudas plūsma'!E11*0.5</f>
        <v>199300.14733892231</v>
      </c>
      <c r="F233" s="299">
        <f>Aprēķini!F290+'Naudas plūsma'!F11*0.5</f>
        <v>200199.05657518038</v>
      </c>
      <c r="G233" s="299">
        <f>Aprēķini!G290+'Naudas plūsma'!G11*0.5</f>
        <v>201088.18674282893</v>
      </c>
      <c r="H233" s="299">
        <f>Aprēķini!H290+'Naudas plūsma'!H11*0.5</f>
        <v>201728.79062515235</v>
      </c>
      <c r="I233" s="299">
        <f>Aprēķini!I290+'Naudas plūsma'!I11*0.5</f>
        <v>202367.78314692929</v>
      </c>
      <c r="J233" s="299">
        <f>Aprēķini!J290+'Naudas plūsma'!J11*0.5</f>
        <v>206824.8631212482</v>
      </c>
      <c r="K233" s="299">
        <f>Aprēķini!K290+'Naudas plūsma'!K11*0.5</f>
        <v>207813.41937557084</v>
      </c>
      <c r="L233" s="299">
        <f>Aprēķini!L290+'Naudas plūsma'!L11*0.5</f>
        <v>208734.4620160737</v>
      </c>
      <c r="M233" s="299">
        <f>Aprēķini!M290+'Naudas plūsma'!M11*0.5</f>
        <v>209307.08092403092</v>
      </c>
      <c r="N233" s="299">
        <f>Aprēķini!N290+'Naudas plūsma'!N11*0.5</f>
        <v>206507.61487757368</v>
      </c>
      <c r="O233" s="299">
        <f>Aprēķini!O290+'Naudas plūsma'!O11*0.5</f>
        <v>191914.02332596184</v>
      </c>
      <c r="P233" s="299">
        <f>Aprēķini!P290+'Naudas plūsma'!P11*0.5</f>
        <v>192740.13020873361</v>
      </c>
      <c r="Q233" s="299">
        <f>Aprēķini!Q290+'Naudas plūsma'!Q11*0.5</f>
        <v>194485.31874204648</v>
      </c>
      <c r="R233" s="299">
        <f>Aprēķini!R290+'Naudas plūsma'!R11*0.5</f>
        <v>147742.9671108484</v>
      </c>
      <c r="S233" s="299">
        <f>Aprēķini!S290+'Naudas plūsma'!S11*0.5</f>
        <v>143119.75917273393</v>
      </c>
      <c r="T233" s="299">
        <f>Aprēķini!T290+'Naudas plūsma'!T11*0.5</f>
        <v>139696.83838095685</v>
      </c>
      <c r="U233" s="299">
        <f>Aprēķini!U290+'Naudas plūsma'!U11*0.5</f>
        <v>140801.85475172719</v>
      </c>
      <c r="V233" s="299">
        <f>Aprēķini!V290+'Naudas plūsma'!V11*0.5</f>
        <v>142386.04703903489</v>
      </c>
      <c r="W233" s="299">
        <f>Aprēķini!W290+'Naudas plūsma'!W11*0.5</f>
        <v>143689.48714235163</v>
      </c>
      <c r="X233" s="299">
        <f>Aprēķini!X290+'Naudas plūsma'!X11*0.5</f>
        <v>147419.32248911884</v>
      </c>
      <c r="Y233" s="299">
        <f>Aprēķini!Y290+'Naudas plūsma'!Y11*0.5</f>
        <v>148722.762592435</v>
      </c>
      <c r="Z233" s="299">
        <f>Aprēķini!Z290+'Naudas plūsma'!Z11*0.5</f>
        <v>149677.77896320552</v>
      </c>
      <c r="AA233" s="299">
        <f>Aprēķini!AA290+'Naudas plūsma'!AA11*0.5</f>
        <v>150981.21906652168</v>
      </c>
      <c r="AB233" s="299">
        <f>Aprēķini!AB290+'Naudas plūsma'!AB11*0.5</f>
        <v>152215.57419547258</v>
      </c>
      <c r="AC233" s="299">
        <f>Aprēķini!AC290+'Naudas plūsma'!AC11*0.5</f>
        <v>155670.99974492844</v>
      </c>
      <c r="AD233" s="299">
        <f>Aprēķini!AD290+'Naudas plūsma'!AD11*0.5</f>
        <v>171399.30509726424</v>
      </c>
      <c r="AE233" s="299">
        <f>Aprēķini!AE290+'Naudas plūsma'!AE11*0.5</f>
        <v>172706.34581875865</v>
      </c>
      <c r="AF233" s="299">
        <f>Aprēķini!AF290+'Naudas plūsma'!AF11*0.5</f>
        <v>165118.34322433354</v>
      </c>
      <c r="AG233" s="299">
        <f>Aprēķini!AG290+'Naudas plūsma'!AG11*0.5</f>
        <v>166590.92903664114</v>
      </c>
      <c r="AH233" s="299">
        <f>Aprēķini!AH290+'Naudas plūsma'!AH11*0.5</f>
        <v>168063.51484894881</v>
      </c>
      <c r="AK233" s="110"/>
      <c r="AM233" s="110"/>
      <c r="AO233" s="110"/>
      <c r="AQ233" s="110"/>
    </row>
    <row r="234" spans="1:43" x14ac:dyDescent="0.2">
      <c r="AK234" s="110"/>
      <c r="AM234" s="110"/>
      <c r="AO234" s="110"/>
      <c r="AQ234" s="110"/>
    </row>
    <row r="235" spans="1:43" ht="12" customHeight="1" x14ac:dyDescent="0.2">
      <c r="AK235" s="110"/>
      <c r="AM235" s="110"/>
      <c r="AO235" s="110"/>
      <c r="AQ235" s="110"/>
    </row>
    <row r="236" spans="1:43" ht="15" x14ac:dyDescent="0.2">
      <c r="A236" s="428" t="s">
        <v>571</v>
      </c>
      <c r="AK236" s="110"/>
      <c r="AM236" s="110"/>
      <c r="AO236" s="110"/>
      <c r="AQ236" s="110"/>
    </row>
    <row r="237" spans="1:43" x14ac:dyDescent="0.2">
      <c r="A237" s="30"/>
      <c r="B237" s="522">
        <f>Aprēķini!B6</f>
        <v>2017</v>
      </c>
      <c r="C237" s="522">
        <f t="shared" ref="C237:AG237" si="108">B237+1</f>
        <v>2018</v>
      </c>
      <c r="D237" s="522">
        <f t="shared" si="108"/>
        <v>2019</v>
      </c>
      <c r="E237" s="522">
        <f t="shared" si="108"/>
        <v>2020</v>
      </c>
      <c r="F237" s="522">
        <f t="shared" si="108"/>
        <v>2021</v>
      </c>
      <c r="G237" s="522">
        <f t="shared" si="108"/>
        <v>2022</v>
      </c>
      <c r="H237" s="522">
        <f t="shared" si="108"/>
        <v>2023</v>
      </c>
      <c r="I237" s="522">
        <f t="shared" si="108"/>
        <v>2024</v>
      </c>
      <c r="J237" s="522">
        <f t="shared" si="108"/>
        <v>2025</v>
      </c>
      <c r="K237" s="522">
        <f t="shared" si="108"/>
        <v>2026</v>
      </c>
      <c r="L237" s="522">
        <f t="shared" si="108"/>
        <v>2027</v>
      </c>
      <c r="M237" s="522">
        <f t="shared" si="108"/>
        <v>2028</v>
      </c>
      <c r="N237" s="522">
        <f t="shared" si="108"/>
        <v>2029</v>
      </c>
      <c r="O237" s="522">
        <f t="shared" si="108"/>
        <v>2030</v>
      </c>
      <c r="P237" s="522">
        <f t="shared" si="108"/>
        <v>2031</v>
      </c>
      <c r="Q237" s="522">
        <f t="shared" si="108"/>
        <v>2032</v>
      </c>
      <c r="R237" s="522">
        <f t="shared" si="108"/>
        <v>2033</v>
      </c>
      <c r="S237" s="522">
        <f t="shared" si="108"/>
        <v>2034</v>
      </c>
      <c r="T237" s="522">
        <f t="shared" si="108"/>
        <v>2035</v>
      </c>
      <c r="U237" s="522">
        <f t="shared" si="108"/>
        <v>2036</v>
      </c>
      <c r="V237" s="522">
        <f t="shared" si="108"/>
        <v>2037</v>
      </c>
      <c r="W237" s="522">
        <f t="shared" si="108"/>
        <v>2038</v>
      </c>
      <c r="X237" s="522">
        <f t="shared" si="108"/>
        <v>2039</v>
      </c>
      <c r="Y237" s="522">
        <f t="shared" si="108"/>
        <v>2040</v>
      </c>
      <c r="Z237" s="522">
        <f t="shared" si="108"/>
        <v>2041</v>
      </c>
      <c r="AA237" s="522">
        <f t="shared" si="108"/>
        <v>2042</v>
      </c>
      <c r="AB237" s="522">
        <f t="shared" si="108"/>
        <v>2043</v>
      </c>
      <c r="AC237" s="522">
        <f t="shared" si="108"/>
        <v>2044</v>
      </c>
      <c r="AD237" s="522">
        <f t="shared" si="108"/>
        <v>2045</v>
      </c>
      <c r="AE237" s="522">
        <f t="shared" si="108"/>
        <v>2046</v>
      </c>
      <c r="AF237" s="522">
        <f t="shared" si="108"/>
        <v>2047</v>
      </c>
      <c r="AG237" s="522">
        <f t="shared" si="108"/>
        <v>2048</v>
      </c>
      <c r="AH237" s="522">
        <f>AG237+1</f>
        <v>2049</v>
      </c>
      <c r="AK237" s="110"/>
      <c r="AM237" s="110"/>
      <c r="AO237" s="110"/>
      <c r="AQ237" s="110"/>
    </row>
    <row r="238" spans="1:43" x14ac:dyDescent="0.2">
      <c r="A238" s="30" t="s">
        <v>538</v>
      </c>
      <c r="B238" s="524">
        <f>'Saimnieciskas pamatdarbibas NP'!B191</f>
        <v>0</v>
      </c>
      <c r="C238" s="524">
        <f>'Saimnieciskas pamatdarbibas NP'!C191</f>
        <v>0</v>
      </c>
      <c r="D238" s="524">
        <f>'Saimnieciskas pamatdarbibas NP'!D191</f>
        <v>3467.9304599321404</v>
      </c>
      <c r="E238" s="524">
        <f>'Saimnieciskas pamatdarbibas NP'!E191</f>
        <v>20731.682867371223</v>
      </c>
      <c r="F238" s="524">
        <f>'Saimnieciskas pamatdarbibas NP'!F191</f>
        <v>21350.629270881578</v>
      </c>
      <c r="G238" s="524">
        <f>'Saimnieciskas pamatdarbibas NP'!G191</f>
        <v>22571.896527294419</v>
      </c>
      <c r="H238" s="524">
        <f>'Saimnieciskas pamatdarbibas NP'!H191</f>
        <v>22551.689622159305</v>
      </c>
      <c r="I238" s="524">
        <f>'Saimnieciskas pamatdarbibas NP'!I191</f>
        <v>22203.265889613609</v>
      </c>
      <c r="J238" s="524">
        <f>'Saimnieciskas pamatdarbibas NP'!J191</f>
        <v>26367.065714155149</v>
      </c>
      <c r="K238" s="524">
        <f>'Saimnieciskas pamatdarbibas NP'!K191</f>
        <v>26713.918086154641</v>
      </c>
      <c r="L238" s="524">
        <f>'Saimnieciskas pamatdarbibas NP'!L191</f>
        <v>28795.032318152407</v>
      </c>
      <c r="M238" s="524">
        <f>'Saimnieciskas pamatdarbibas NP'!M191</f>
        <v>31222.99892214968</v>
      </c>
      <c r="N238" s="524">
        <f>'Saimnieciskas pamatdarbibas NP'!N191</f>
        <v>33302.541793601224</v>
      </c>
      <c r="O238" s="524">
        <f>'Saimnieciskas pamatdarbibas NP'!O191</f>
        <v>28446.608585606566</v>
      </c>
      <c r="P238" s="524">
        <f>'Saimnieciskas pamatdarbibas NP'!P191</f>
        <v>28446.608585606653</v>
      </c>
      <c r="Q238" s="524">
        <f>'Saimnieciskas pamatdarbibas NP'!Q191</f>
        <v>31221.427561603708</v>
      </c>
      <c r="R238" s="524">
        <f>'Saimnieciskas pamatdarbibas NP'!R191</f>
        <v>3446.5246723517521</v>
      </c>
      <c r="S238" s="524">
        <f>'Saimnieciskas pamatdarbibas NP'!S191</f>
        <v>7280.7570908999041</v>
      </c>
      <c r="T238" s="524">
        <f>'Saimnieciskas pamatdarbibas NP'!T191</f>
        <v>2057.543823807242</v>
      </c>
      <c r="U238" s="524">
        <f>'Saimnieciskas pamatdarbibas NP'!U191</f>
        <v>1710.6914518076628</v>
      </c>
      <c r="V238" s="524">
        <f>'Saimnieciskas pamatdarbibas NP'!V191</f>
        <v>-6613.7654761832891</v>
      </c>
      <c r="W238" s="524">
        <f>'Saimnieciskas pamatdarbibas NP'!W191</f>
        <v>-7307.4702201825057</v>
      </c>
      <c r="X238" s="524">
        <f>'Saimnieciskas pamatdarbibas NP'!X191</f>
        <v>-5227.9273487309219</v>
      </c>
      <c r="Y238" s="524">
        <f>'Saimnieciskas pamatdarbibas NP'!Y191</f>
        <v>-5921.6320927298948</v>
      </c>
      <c r="Z238" s="524">
        <f>'Saimnieciskas pamatdarbibas NP'!Z191</f>
        <v>-6963.7605692748475</v>
      </c>
      <c r="AA238" s="524">
        <f>'Saimnieciskas pamatdarbibas NP'!AA191</f>
        <v>-7310.6129412745722</v>
      </c>
      <c r="AB238" s="524">
        <f>'Saimnieciskas pamatdarbibas NP'!AB191</f>
        <v>-5924.7748138220632</v>
      </c>
      <c r="AC238" s="524">
        <f>'Saimnieciskas pamatdarbibas NP'!AC191</f>
        <v>32230.557466681857</v>
      </c>
      <c r="AD238" s="524">
        <f>'Saimnieciskas pamatdarbibas NP'!AD191</f>
        <v>130837.19818951932</v>
      </c>
      <c r="AE238" s="524">
        <f>'Saimnieciskas pamatdarbibas NP'!AE191</f>
        <v>134305.72190951562</v>
      </c>
      <c r="AF238" s="524">
        <f>'Saimnieciskas pamatdarbibas NP'!AF191</f>
        <v>126979.39536278057</v>
      </c>
      <c r="AG238" s="524">
        <f>'Saimnieciskas pamatdarbibas NP'!AG191</f>
        <v>128713.6572227787</v>
      </c>
      <c r="AH238" s="524">
        <f>'Saimnieciskas pamatdarbibas NP'!AH191</f>
        <v>130447.9190827767</v>
      </c>
      <c r="AK238" s="110"/>
      <c r="AM238" s="110"/>
      <c r="AO238" s="110"/>
      <c r="AQ238" s="110"/>
    </row>
    <row r="239" spans="1:43" x14ac:dyDescent="0.2">
      <c r="A239" s="30" t="s">
        <v>547</v>
      </c>
      <c r="B239" s="524">
        <f t="shared" ref="B239:AH239" si="109">B124</f>
        <v>0</v>
      </c>
      <c r="C239" s="524">
        <f t="shared" si="109"/>
        <v>0</v>
      </c>
      <c r="D239" s="524">
        <f t="shared" si="109"/>
        <v>0</v>
      </c>
      <c r="E239" s="524">
        <f t="shared" si="109"/>
        <v>0</v>
      </c>
      <c r="F239" s="524">
        <f t="shared" si="109"/>
        <v>0</v>
      </c>
      <c r="G239" s="524">
        <f t="shared" si="109"/>
        <v>0</v>
      </c>
      <c r="H239" s="524">
        <f t="shared" si="109"/>
        <v>0</v>
      </c>
      <c r="I239" s="524">
        <f t="shared" si="109"/>
        <v>0</v>
      </c>
      <c r="J239" s="524">
        <f t="shared" si="109"/>
        <v>0</v>
      </c>
      <c r="K239" s="524">
        <f t="shared" si="109"/>
        <v>0</v>
      </c>
      <c r="L239" s="524">
        <f t="shared" si="109"/>
        <v>0</v>
      </c>
      <c r="M239" s="524">
        <f t="shared" si="109"/>
        <v>0</v>
      </c>
      <c r="N239" s="524">
        <f t="shared" si="109"/>
        <v>0</v>
      </c>
      <c r="O239" s="524">
        <f t="shared" si="109"/>
        <v>0</v>
      </c>
      <c r="P239" s="524">
        <f t="shared" si="109"/>
        <v>0</v>
      </c>
      <c r="Q239" s="524">
        <f t="shared" si="109"/>
        <v>0</v>
      </c>
      <c r="R239" s="524">
        <f t="shared" si="109"/>
        <v>0</v>
      </c>
      <c r="S239" s="524">
        <f t="shared" si="109"/>
        <v>0</v>
      </c>
      <c r="T239" s="524">
        <f t="shared" si="109"/>
        <v>0</v>
      </c>
      <c r="U239" s="524">
        <f t="shared" si="109"/>
        <v>0</v>
      </c>
      <c r="V239" s="524">
        <f t="shared" si="109"/>
        <v>0</v>
      </c>
      <c r="W239" s="524">
        <f t="shared" si="109"/>
        <v>0</v>
      </c>
      <c r="X239" s="524">
        <f t="shared" si="109"/>
        <v>0</v>
      </c>
      <c r="Y239" s="524">
        <f t="shared" si="109"/>
        <v>0</v>
      </c>
      <c r="Z239" s="524">
        <f t="shared" si="109"/>
        <v>0</v>
      </c>
      <c r="AA239" s="524">
        <f t="shared" si="109"/>
        <v>0</v>
      </c>
      <c r="AB239" s="524">
        <f t="shared" si="109"/>
        <v>0</v>
      </c>
      <c r="AC239" s="524">
        <f t="shared" si="109"/>
        <v>0</v>
      </c>
      <c r="AD239" s="524">
        <f t="shared" si="109"/>
        <v>0</v>
      </c>
      <c r="AE239" s="524">
        <f t="shared" si="109"/>
        <v>0</v>
      </c>
      <c r="AF239" s="524">
        <f t="shared" si="109"/>
        <v>0</v>
      </c>
      <c r="AG239" s="524">
        <f t="shared" si="109"/>
        <v>548639</v>
      </c>
      <c r="AH239" s="524">
        <f t="shared" si="109"/>
        <v>0</v>
      </c>
      <c r="AK239" s="110"/>
      <c r="AM239" s="110"/>
      <c r="AO239" s="110"/>
      <c r="AQ239" s="110"/>
    </row>
    <row r="240" spans="1:43" x14ac:dyDescent="0.2">
      <c r="A240" s="523" t="s">
        <v>548</v>
      </c>
      <c r="B240" s="525">
        <f>SUM(B238:B239)</f>
        <v>0</v>
      </c>
      <c r="C240" s="525">
        <f t="shared" ref="C240:AH240" si="110">SUM(C238:C239)</f>
        <v>0</v>
      </c>
      <c r="D240" s="525">
        <f t="shared" si="110"/>
        <v>3467.9304599321404</v>
      </c>
      <c r="E240" s="525">
        <f t="shared" si="110"/>
        <v>20731.682867371223</v>
      </c>
      <c r="F240" s="525">
        <f t="shared" si="110"/>
        <v>21350.629270881578</v>
      </c>
      <c r="G240" s="525">
        <f t="shared" si="110"/>
        <v>22571.896527294419</v>
      </c>
      <c r="H240" s="525">
        <f t="shared" si="110"/>
        <v>22551.689622159305</v>
      </c>
      <c r="I240" s="525">
        <f t="shared" si="110"/>
        <v>22203.265889613609</v>
      </c>
      <c r="J240" s="525">
        <f t="shared" si="110"/>
        <v>26367.065714155149</v>
      </c>
      <c r="K240" s="525">
        <f t="shared" si="110"/>
        <v>26713.918086154641</v>
      </c>
      <c r="L240" s="525">
        <f t="shared" si="110"/>
        <v>28795.032318152407</v>
      </c>
      <c r="M240" s="525">
        <f t="shared" si="110"/>
        <v>31222.99892214968</v>
      </c>
      <c r="N240" s="525">
        <f t="shared" si="110"/>
        <v>33302.541793601224</v>
      </c>
      <c r="O240" s="525">
        <f t="shared" si="110"/>
        <v>28446.608585606566</v>
      </c>
      <c r="P240" s="525">
        <f t="shared" si="110"/>
        <v>28446.608585606653</v>
      </c>
      <c r="Q240" s="525">
        <f t="shared" si="110"/>
        <v>31221.427561603708</v>
      </c>
      <c r="R240" s="525">
        <f t="shared" si="110"/>
        <v>3446.5246723517521</v>
      </c>
      <c r="S240" s="525">
        <f t="shared" si="110"/>
        <v>7280.7570908999041</v>
      </c>
      <c r="T240" s="525">
        <f t="shared" si="110"/>
        <v>2057.543823807242</v>
      </c>
      <c r="U240" s="525">
        <f t="shared" si="110"/>
        <v>1710.6914518076628</v>
      </c>
      <c r="V240" s="525">
        <f t="shared" si="110"/>
        <v>-6613.7654761832891</v>
      </c>
      <c r="W240" s="525">
        <f t="shared" si="110"/>
        <v>-7307.4702201825057</v>
      </c>
      <c r="X240" s="525">
        <f t="shared" si="110"/>
        <v>-5227.9273487309219</v>
      </c>
      <c r="Y240" s="525">
        <f t="shared" si="110"/>
        <v>-5921.6320927298948</v>
      </c>
      <c r="Z240" s="525">
        <f t="shared" si="110"/>
        <v>-6963.7605692748475</v>
      </c>
      <c r="AA240" s="525">
        <f t="shared" si="110"/>
        <v>-7310.6129412745722</v>
      </c>
      <c r="AB240" s="525">
        <f t="shared" si="110"/>
        <v>-5924.7748138220632</v>
      </c>
      <c r="AC240" s="525">
        <f t="shared" si="110"/>
        <v>32230.557466681857</v>
      </c>
      <c r="AD240" s="525">
        <f t="shared" si="110"/>
        <v>130837.19818951932</v>
      </c>
      <c r="AE240" s="525">
        <f t="shared" si="110"/>
        <v>134305.72190951562</v>
      </c>
      <c r="AF240" s="525">
        <f t="shared" si="110"/>
        <v>126979.39536278057</v>
      </c>
      <c r="AG240" s="525">
        <f t="shared" si="110"/>
        <v>677352.65722277865</v>
      </c>
      <c r="AH240" s="525">
        <f t="shared" si="110"/>
        <v>130447.9190827767</v>
      </c>
      <c r="AK240" s="110"/>
      <c r="AM240" s="110"/>
      <c r="AO240" s="110"/>
      <c r="AQ240" s="110"/>
    </row>
    <row r="241" spans="1:43" x14ac:dyDescent="0.2">
      <c r="A241" s="30" t="s">
        <v>549</v>
      </c>
      <c r="B241" s="524">
        <f>'Saimnieciskas pamatdarbibas NP'!B178</f>
        <v>0</v>
      </c>
      <c r="C241" s="524">
        <f>'Saimnieciskas pamatdarbibas NP'!C178</f>
        <v>400.19395739687025</v>
      </c>
      <c r="D241" s="524">
        <f>'Saimnieciskas pamatdarbibas NP'!D178</f>
        <v>573.10452628112398</v>
      </c>
      <c r="E241" s="524">
        <f>'Saimnieciskas pamatdarbibas NP'!E178</f>
        <v>1484.5089233697508</v>
      </c>
      <c r="F241" s="524">
        <f>'Saimnieciskas pamatdarbibas NP'!F178</f>
        <v>2264.0810409458063</v>
      </c>
      <c r="G241" s="524">
        <f>'Saimnieciskas pamatdarbibas NP'!G178</f>
        <v>3067.0284538077249</v>
      </c>
      <c r="H241" s="524">
        <f>'Saimnieciskas pamatdarbibas NP'!H178</f>
        <v>3122.9368190543028</v>
      </c>
      <c r="I241" s="524">
        <f>'Saimnieciskas pamatdarbibas NP'!I178</f>
        <v>3178.8851843008597</v>
      </c>
      <c r="J241" s="524">
        <f>'Saimnieciskas pamatdarbibas NP'!J178</f>
        <v>3233.6935495474609</v>
      </c>
      <c r="K241" s="524">
        <f>'Saimnieciskas pamatdarbibas NP'!K178</f>
        <v>3288.5019147940329</v>
      </c>
      <c r="L241" s="524">
        <f>'Saimnieciskas pamatdarbibas NP'!L178</f>
        <v>5554.9291230405361</v>
      </c>
      <c r="M241" s="524">
        <f>'Saimnieciskas pamatdarbibas NP'!M178</f>
        <v>7821.3563312871484</v>
      </c>
      <c r="N241" s="524">
        <f>'Saimnieciskas pamatdarbibas NP'!N178</f>
        <v>10087.783539533724</v>
      </c>
      <c r="O241" s="524">
        <f>'Saimnieciskas pamatdarbibas NP'!O178</f>
        <v>10169.996087403517</v>
      </c>
      <c r="P241" s="524">
        <f>'Saimnieciskas pamatdarbibas NP'!P178</f>
        <v>10252.208635273462</v>
      </c>
      <c r="Q241" s="524">
        <f>'Saimnieciskas pamatdarbibas NP'!Q178</f>
        <v>10334.421183143313</v>
      </c>
      <c r="R241" s="524">
        <f>'Saimnieciskas pamatdarbibas NP'!R178</f>
        <v>-15803.36626898688</v>
      </c>
      <c r="S241" s="524">
        <f>'Saimnieciskas pamatdarbibas NP'!S178</f>
        <v>-16291.153721117014</v>
      </c>
      <c r="T241" s="524">
        <f>'Saimnieciskas pamatdarbibas NP'!T178</f>
        <v>-16778.941173247105</v>
      </c>
      <c r="U241" s="524">
        <f>'Saimnieciskas pamatdarbibas NP'!U178</f>
        <v>-17266.728625377335</v>
      </c>
      <c r="V241" s="524">
        <f>'Saimnieciskas pamatdarbibas NP'!V178</f>
        <v>-25254.51607750744</v>
      </c>
      <c r="W241" s="524">
        <f>'Saimnieciskas pamatdarbibas NP'!W178</f>
        <v>-25892.303529637618</v>
      </c>
      <c r="X241" s="524">
        <f>'Saimnieciskas pamatdarbibas NP'!X178</f>
        <v>-26530.090981767615</v>
      </c>
      <c r="Y241" s="524">
        <f>'Saimnieciskas pamatdarbibas NP'!Y178</f>
        <v>-27167.878433897902</v>
      </c>
      <c r="Z241" s="524">
        <f>'Saimnieciskas pamatdarbibas NP'!Z178</f>
        <v>-27805.665886028073</v>
      </c>
      <c r="AA241" s="524">
        <f>'Saimnieciskas pamatdarbibas NP'!AA178</f>
        <v>-28443.453338158128</v>
      </c>
      <c r="AB241" s="524">
        <f>'Saimnieciskas pamatdarbibas NP'!AB178</f>
        <v>-26869.62194728828</v>
      </c>
      <c r="AC241" s="524">
        <f>'Saimnieciskas pamatdarbibas NP'!AC178</f>
        <v>8904.2094435815088</v>
      </c>
      <c r="AD241" s="524">
        <f>'Saimnieciskas pamatdarbibas NP'!AD178</f>
        <v>92858.040834451429</v>
      </c>
      <c r="AE241" s="524">
        <f>'Saimnieciskas pamatdarbibas NP'!AE178</f>
        <v>96441.872225321145</v>
      </c>
      <c r="AF241" s="524">
        <f>'Saimnieciskas pamatdarbibas NP'!AF178</f>
        <v>98271.48895581429</v>
      </c>
      <c r="AG241" s="524">
        <f>'Saimnieciskas pamatdarbibas NP'!AG178</f>
        <v>100101.10568630749</v>
      </c>
      <c r="AH241" s="524">
        <f>'Saimnieciskas pamatdarbibas NP'!AH178</f>
        <v>101930.72241680069</v>
      </c>
      <c r="AK241" s="110"/>
      <c r="AM241" s="110"/>
      <c r="AO241" s="110"/>
      <c r="AQ241" s="110"/>
    </row>
    <row r="242" spans="1:43" x14ac:dyDescent="0.2">
      <c r="A242" s="30" t="s">
        <v>572</v>
      </c>
      <c r="B242" s="524">
        <f>B257</f>
        <v>1242.5840000000001</v>
      </c>
      <c r="C242" s="524">
        <f>C257</f>
        <v>1242.5840000000001</v>
      </c>
      <c r="D242" s="524">
        <f t="shared" ref="D242:AH242" si="111">D257</f>
        <v>1699.9950000000001</v>
      </c>
      <c r="E242" s="524">
        <f t="shared" si="111"/>
        <v>2897.0786499999999</v>
      </c>
      <c r="F242" s="524">
        <f t="shared" si="111"/>
        <v>2857.1758616666666</v>
      </c>
      <c r="G242" s="524">
        <f t="shared" si="111"/>
        <v>2817.2730733333333</v>
      </c>
      <c r="H242" s="524">
        <f t="shared" si="111"/>
        <v>2777.3702849999995</v>
      </c>
      <c r="I242" s="524">
        <f t="shared" si="111"/>
        <v>2737.4674966666662</v>
      </c>
      <c r="J242" s="524">
        <f t="shared" si="111"/>
        <v>2697.5647083333329</v>
      </c>
      <c r="K242" s="524">
        <f t="shared" si="111"/>
        <v>2657.6619199999991</v>
      </c>
      <c r="L242" s="524">
        <f t="shared" si="111"/>
        <v>2617.7591316666658</v>
      </c>
      <c r="M242" s="524">
        <f t="shared" si="111"/>
        <v>2577.8563433333325</v>
      </c>
      <c r="N242" s="524">
        <f t="shared" si="111"/>
        <v>2537.9535549999991</v>
      </c>
      <c r="O242" s="524">
        <f t="shared" si="111"/>
        <v>2498.0507666666654</v>
      </c>
      <c r="P242" s="524">
        <f t="shared" si="111"/>
        <v>2458.147978333332</v>
      </c>
      <c r="Q242" s="524">
        <f t="shared" si="111"/>
        <v>2418.2451899999987</v>
      </c>
      <c r="R242" s="524">
        <f t="shared" si="111"/>
        <v>2378.342401666665</v>
      </c>
      <c r="S242" s="524">
        <f t="shared" si="111"/>
        <v>2338.4396133333316</v>
      </c>
      <c r="T242" s="524">
        <f t="shared" si="111"/>
        <v>2298.5368249999983</v>
      </c>
      <c r="U242" s="524">
        <f t="shared" si="111"/>
        <v>2258.634036666665</v>
      </c>
      <c r="V242" s="524">
        <f t="shared" si="111"/>
        <v>2218.7312483333312</v>
      </c>
      <c r="W242" s="524">
        <f t="shared" si="111"/>
        <v>2178.8284599999979</v>
      </c>
      <c r="X242" s="524">
        <f t="shared" si="111"/>
        <v>2138.9256716666646</v>
      </c>
      <c r="Y242" s="524">
        <f t="shared" si="111"/>
        <v>2099.0228833333308</v>
      </c>
      <c r="Z242" s="524">
        <f t="shared" si="111"/>
        <v>2059.1200949999975</v>
      </c>
      <c r="AA242" s="524">
        <f t="shared" si="111"/>
        <v>2019.2173066666642</v>
      </c>
      <c r="AB242" s="524">
        <f t="shared" si="111"/>
        <v>1979.3145183333306</v>
      </c>
      <c r="AC242" s="524">
        <f t="shared" si="111"/>
        <v>1939.4117299999973</v>
      </c>
      <c r="AD242" s="524">
        <f t="shared" si="111"/>
        <v>1899.5089416666638</v>
      </c>
      <c r="AE242" s="524">
        <f t="shared" si="111"/>
        <v>1859.6061533333304</v>
      </c>
      <c r="AF242" s="524">
        <f t="shared" si="111"/>
        <v>1819.7033649999969</v>
      </c>
      <c r="AG242" s="524">
        <f t="shared" si="111"/>
        <v>1779.8005766666633</v>
      </c>
      <c r="AH242" s="524">
        <f t="shared" si="111"/>
        <v>1739.89778833333</v>
      </c>
      <c r="AK242" s="110"/>
      <c r="AM242" s="110"/>
      <c r="AO242" s="110"/>
      <c r="AQ242" s="110"/>
    </row>
    <row r="243" spans="1:43" x14ac:dyDescent="0.2">
      <c r="A243" s="30" t="s">
        <v>364</v>
      </c>
      <c r="B243" s="524">
        <f>B258</f>
        <v>0</v>
      </c>
      <c r="C243" s="524">
        <f>C258</f>
        <v>0</v>
      </c>
      <c r="D243" s="524">
        <f t="shared" ref="D243:AH243" si="112">D258</f>
        <v>0</v>
      </c>
      <c r="E243" s="524">
        <f t="shared" si="112"/>
        <v>7980.5576666666666</v>
      </c>
      <c r="F243" s="524">
        <f t="shared" si="112"/>
        <v>7980.5576666666666</v>
      </c>
      <c r="G243" s="524">
        <f t="shared" si="112"/>
        <v>7980.5576666666666</v>
      </c>
      <c r="H243" s="524">
        <f t="shared" si="112"/>
        <v>7980.5576666666666</v>
      </c>
      <c r="I243" s="524">
        <f t="shared" si="112"/>
        <v>7980.5576666666666</v>
      </c>
      <c r="J243" s="524">
        <f t="shared" si="112"/>
        <v>7980.5576666666666</v>
      </c>
      <c r="K243" s="524">
        <f t="shared" si="112"/>
        <v>7980.5576666666666</v>
      </c>
      <c r="L243" s="524">
        <f t="shared" si="112"/>
        <v>7980.5576666666666</v>
      </c>
      <c r="M243" s="524">
        <f t="shared" si="112"/>
        <v>7980.5576666666666</v>
      </c>
      <c r="N243" s="524">
        <f t="shared" si="112"/>
        <v>7980.5576666666666</v>
      </c>
      <c r="O243" s="524">
        <f t="shared" si="112"/>
        <v>7980.5576666666666</v>
      </c>
      <c r="P243" s="524">
        <f t="shared" si="112"/>
        <v>7980.5576666666666</v>
      </c>
      <c r="Q243" s="524">
        <f t="shared" si="112"/>
        <v>7980.5576666666666</v>
      </c>
      <c r="R243" s="524">
        <f t="shared" si="112"/>
        <v>7980.5576666666666</v>
      </c>
      <c r="S243" s="524">
        <f t="shared" si="112"/>
        <v>7980.5576666666666</v>
      </c>
      <c r="T243" s="524">
        <f t="shared" si="112"/>
        <v>7980.5576666666666</v>
      </c>
      <c r="U243" s="524">
        <f t="shared" si="112"/>
        <v>7980.5576666666666</v>
      </c>
      <c r="V243" s="524">
        <f t="shared" si="112"/>
        <v>7980.5576666666666</v>
      </c>
      <c r="W243" s="524">
        <f t="shared" si="112"/>
        <v>7980.5576666666666</v>
      </c>
      <c r="X243" s="524">
        <f t="shared" si="112"/>
        <v>7980.5576666666666</v>
      </c>
      <c r="Y243" s="524">
        <f t="shared" si="112"/>
        <v>7980.5576666666666</v>
      </c>
      <c r="Z243" s="524">
        <f t="shared" si="112"/>
        <v>7980.5576666666666</v>
      </c>
      <c r="AA243" s="524">
        <f t="shared" si="112"/>
        <v>7980.5576666666666</v>
      </c>
      <c r="AB243" s="524">
        <f t="shared" si="112"/>
        <v>7980.5576666666666</v>
      </c>
      <c r="AC243" s="524">
        <f t="shared" si="112"/>
        <v>7980.5576666666666</v>
      </c>
      <c r="AD243" s="524">
        <f t="shared" si="112"/>
        <v>7980.5576666666666</v>
      </c>
      <c r="AE243" s="524">
        <f t="shared" si="112"/>
        <v>7980.5576666666666</v>
      </c>
      <c r="AF243" s="524">
        <f t="shared" si="112"/>
        <v>7980.5576666666666</v>
      </c>
      <c r="AG243" s="524">
        <f t="shared" si="112"/>
        <v>7980.5576666666666</v>
      </c>
      <c r="AH243" s="524">
        <f t="shared" si="112"/>
        <v>7980.5576666666666</v>
      </c>
      <c r="AK243" s="110"/>
      <c r="AM243" s="110"/>
      <c r="AO243" s="110"/>
      <c r="AQ243" s="110"/>
    </row>
    <row r="244" spans="1:43" x14ac:dyDescent="0.2">
      <c r="A244" s="30" t="s">
        <v>573</v>
      </c>
      <c r="B244" s="524">
        <f>Aprēķini!B163</f>
        <v>0</v>
      </c>
      <c r="C244" s="524">
        <f>Aprēķini!C163</f>
        <v>0</v>
      </c>
      <c r="D244" s="524">
        <f>Aprēķini!D163</f>
        <v>0</v>
      </c>
      <c r="E244" s="524">
        <f>Aprēķini!E163</f>
        <v>0</v>
      </c>
      <c r="F244" s="524">
        <f>Aprēķini!F163</f>
        <v>0</v>
      </c>
      <c r="G244" s="524">
        <f>Aprēķini!G163</f>
        <v>0</v>
      </c>
      <c r="H244" s="524">
        <f>Aprēķini!H163</f>
        <v>0</v>
      </c>
      <c r="I244" s="524">
        <f>Aprēķini!I163</f>
        <v>0</v>
      </c>
      <c r="J244" s="524">
        <f>Aprēķini!J163</f>
        <v>0</v>
      </c>
      <c r="K244" s="524">
        <f>Aprēķini!K163</f>
        <v>0</v>
      </c>
      <c r="L244" s="524">
        <f>Aprēķini!L163</f>
        <v>0</v>
      </c>
      <c r="M244" s="524">
        <f>Aprēķini!M163</f>
        <v>0</v>
      </c>
      <c r="N244" s="524">
        <f>Aprēķini!N163</f>
        <v>0</v>
      </c>
      <c r="O244" s="524">
        <f>Aprēķini!O163</f>
        <v>0</v>
      </c>
      <c r="P244" s="524">
        <f>Aprēķini!P163</f>
        <v>0</v>
      </c>
      <c r="Q244" s="524">
        <f>Aprēķini!Q163</f>
        <v>0</v>
      </c>
      <c r="R244" s="524">
        <f>Aprēķini!R163</f>
        <v>0</v>
      </c>
      <c r="S244" s="524">
        <f>Aprēķini!S163</f>
        <v>0</v>
      </c>
      <c r="T244" s="524">
        <f>Aprēķini!T163</f>
        <v>0</v>
      </c>
      <c r="U244" s="524">
        <f>Aprēķini!U163</f>
        <v>0</v>
      </c>
      <c r="V244" s="524">
        <f>Aprēķini!V163</f>
        <v>0</v>
      </c>
      <c r="W244" s="524">
        <f>Aprēķini!W163</f>
        <v>0</v>
      </c>
      <c r="X244" s="524">
        <f>Aprēķini!X163</f>
        <v>0</v>
      </c>
      <c r="Y244" s="524">
        <f>Aprēķini!Y163</f>
        <v>0</v>
      </c>
      <c r="Z244" s="524">
        <f>Aprēķini!Z163</f>
        <v>0</v>
      </c>
      <c r="AA244" s="524">
        <f>Aprēķini!AA163</f>
        <v>0</v>
      </c>
      <c r="AB244" s="524">
        <f>Aprēķini!AB163</f>
        <v>0</v>
      </c>
      <c r="AC244" s="524">
        <f>Aprēķini!AC163</f>
        <v>0</v>
      </c>
      <c r="AD244" s="524">
        <f>Aprēķini!AD163</f>
        <v>0</v>
      </c>
      <c r="AE244" s="524">
        <f>Aprēķini!AE163</f>
        <v>0</v>
      </c>
      <c r="AF244" s="524">
        <f>Aprēķini!AF163</f>
        <v>0</v>
      </c>
      <c r="AG244" s="524">
        <f>Aprēķini!AG163</f>
        <v>0</v>
      </c>
      <c r="AH244" s="524">
        <f>Aprēķini!AH163</f>
        <v>0</v>
      </c>
      <c r="AK244" s="110"/>
      <c r="AM244" s="110"/>
      <c r="AO244" s="110"/>
      <c r="AQ244" s="110"/>
    </row>
    <row r="245" spans="1:43" x14ac:dyDescent="0.2">
      <c r="A245" s="523" t="s">
        <v>574</v>
      </c>
      <c r="B245" s="525">
        <f t="shared" ref="B245:AG245" si="113">SUM(B241:B244)</f>
        <v>1242.5840000000001</v>
      </c>
      <c r="C245" s="525">
        <f t="shared" si="113"/>
        <v>1642.7779573968703</v>
      </c>
      <c r="D245" s="525">
        <f t="shared" si="113"/>
        <v>2273.0995262811239</v>
      </c>
      <c r="E245" s="525">
        <f t="shared" si="113"/>
        <v>12362.145240036418</v>
      </c>
      <c r="F245" s="525">
        <f t="shared" si="113"/>
        <v>13101.81456927914</v>
      </c>
      <c r="G245" s="525">
        <f t="shared" si="113"/>
        <v>13864.859193807726</v>
      </c>
      <c r="H245" s="525">
        <f t="shared" si="113"/>
        <v>13880.864770720967</v>
      </c>
      <c r="I245" s="525">
        <f t="shared" si="113"/>
        <v>13896.910347634192</v>
      </c>
      <c r="J245" s="525">
        <f t="shared" si="113"/>
        <v>13911.81592454746</v>
      </c>
      <c r="K245" s="525">
        <f t="shared" si="113"/>
        <v>13926.721501460699</v>
      </c>
      <c r="L245" s="525">
        <f t="shared" si="113"/>
        <v>16153.245921373869</v>
      </c>
      <c r="M245" s="525">
        <f t="shared" si="113"/>
        <v>18379.770341287149</v>
      </c>
      <c r="N245" s="525">
        <f t="shared" si="113"/>
        <v>20606.294761200392</v>
      </c>
      <c r="O245" s="525">
        <f t="shared" si="113"/>
        <v>20648.604520736848</v>
      </c>
      <c r="P245" s="525">
        <f t="shared" si="113"/>
        <v>20690.91428027346</v>
      </c>
      <c r="Q245" s="525">
        <f t="shared" si="113"/>
        <v>20733.224039809978</v>
      </c>
      <c r="R245" s="525">
        <f t="shared" si="113"/>
        <v>-5444.4662006535482</v>
      </c>
      <c r="S245" s="525">
        <f t="shared" si="113"/>
        <v>-5972.1564411170157</v>
      </c>
      <c r="T245" s="525">
        <f t="shared" si="113"/>
        <v>-6499.8466815804395</v>
      </c>
      <c r="U245" s="525">
        <f t="shared" si="113"/>
        <v>-7027.5369220440034</v>
      </c>
      <c r="V245" s="525">
        <f t="shared" si="113"/>
        <v>-15055.227162507443</v>
      </c>
      <c r="W245" s="525">
        <f t="shared" si="113"/>
        <v>-15732.917402970954</v>
      </c>
      <c r="X245" s="525">
        <f t="shared" si="113"/>
        <v>-16410.607643434283</v>
      </c>
      <c r="Y245" s="525">
        <f t="shared" si="113"/>
        <v>-17088.297883897903</v>
      </c>
      <c r="Z245" s="525">
        <f t="shared" si="113"/>
        <v>-17765.988124361407</v>
      </c>
      <c r="AA245" s="525">
        <f t="shared" si="113"/>
        <v>-18443.678364824795</v>
      </c>
      <c r="AB245" s="525">
        <f t="shared" si="113"/>
        <v>-16909.749762288284</v>
      </c>
      <c r="AC245" s="525">
        <f t="shared" si="113"/>
        <v>18824.178840248172</v>
      </c>
      <c r="AD245" s="525">
        <f t="shared" si="113"/>
        <v>102738.10744278475</v>
      </c>
      <c r="AE245" s="525">
        <f t="shared" si="113"/>
        <v>106282.03604532113</v>
      </c>
      <c r="AF245" s="525">
        <f t="shared" si="113"/>
        <v>108071.74998748094</v>
      </c>
      <c r="AG245" s="525">
        <f t="shared" si="113"/>
        <v>109861.46392964081</v>
      </c>
      <c r="AH245" s="525">
        <f>SUM(AH241:AH244)</f>
        <v>111651.17787180068</v>
      </c>
      <c r="AK245" s="110"/>
      <c r="AM245" s="110"/>
      <c r="AO245" s="110"/>
      <c r="AQ245" s="110"/>
    </row>
    <row r="246" spans="1:43" x14ac:dyDescent="0.2">
      <c r="A246" s="523" t="s">
        <v>543</v>
      </c>
      <c r="B246" s="525">
        <f t="shared" ref="B246:AG246" si="114">B240-B245</f>
        <v>-1242.5840000000001</v>
      </c>
      <c r="C246" s="525">
        <f t="shared" si="114"/>
        <v>-1642.7779573968703</v>
      </c>
      <c r="D246" s="525">
        <f t="shared" si="114"/>
        <v>1194.8309336510165</v>
      </c>
      <c r="E246" s="525">
        <f t="shared" si="114"/>
        <v>8369.5376273348047</v>
      </c>
      <c r="F246" s="525">
        <f t="shared" si="114"/>
        <v>8248.8147016024377</v>
      </c>
      <c r="G246" s="525">
        <f t="shared" si="114"/>
        <v>8707.0373334866927</v>
      </c>
      <c r="H246" s="525">
        <f t="shared" si="114"/>
        <v>8670.8248514383376</v>
      </c>
      <c r="I246" s="525">
        <f t="shared" si="114"/>
        <v>8306.3555419794175</v>
      </c>
      <c r="J246" s="525">
        <f t="shared" si="114"/>
        <v>12455.249789607689</v>
      </c>
      <c r="K246" s="525">
        <f t="shared" si="114"/>
        <v>12787.196584693942</v>
      </c>
      <c r="L246" s="525">
        <f t="shared" si="114"/>
        <v>12641.786396778538</v>
      </c>
      <c r="M246" s="525">
        <f t="shared" si="114"/>
        <v>12843.228580862531</v>
      </c>
      <c r="N246" s="525">
        <f t="shared" si="114"/>
        <v>12696.247032400832</v>
      </c>
      <c r="O246" s="525">
        <f t="shared" si="114"/>
        <v>7798.0040648697177</v>
      </c>
      <c r="P246" s="525">
        <f t="shared" si="114"/>
        <v>7755.6943053331925</v>
      </c>
      <c r="Q246" s="525">
        <f t="shared" si="114"/>
        <v>10488.20352179373</v>
      </c>
      <c r="R246" s="525">
        <f t="shared" si="114"/>
        <v>8890.9908730052994</v>
      </c>
      <c r="S246" s="525">
        <f t="shared" si="114"/>
        <v>13252.913532016919</v>
      </c>
      <c r="T246" s="525">
        <f t="shared" si="114"/>
        <v>8557.3905053876806</v>
      </c>
      <c r="U246" s="525">
        <f t="shared" si="114"/>
        <v>8738.2283738516671</v>
      </c>
      <c r="V246" s="525">
        <f t="shared" si="114"/>
        <v>8441.4616863241536</v>
      </c>
      <c r="W246" s="525">
        <f t="shared" si="114"/>
        <v>8425.4471827884481</v>
      </c>
      <c r="X246" s="525">
        <f t="shared" si="114"/>
        <v>11182.680294703361</v>
      </c>
      <c r="Y246" s="525">
        <f t="shared" si="114"/>
        <v>11166.665791168009</v>
      </c>
      <c r="Z246" s="525">
        <f t="shared" si="114"/>
        <v>10802.22755508656</v>
      </c>
      <c r="AA246" s="525">
        <f t="shared" si="114"/>
        <v>11133.065423550222</v>
      </c>
      <c r="AB246" s="525">
        <f t="shared" si="114"/>
        <v>10984.974948466221</v>
      </c>
      <c r="AC246" s="525">
        <f t="shared" si="114"/>
        <v>13406.378626433685</v>
      </c>
      <c r="AD246" s="525">
        <f t="shared" si="114"/>
        <v>28099.090746734568</v>
      </c>
      <c r="AE246" s="525">
        <f t="shared" si="114"/>
        <v>28023.685864194485</v>
      </c>
      <c r="AF246" s="525">
        <f t="shared" si="114"/>
        <v>18907.645375299631</v>
      </c>
      <c r="AG246" s="525">
        <f t="shared" si="114"/>
        <v>567491.19329313783</v>
      </c>
      <c r="AH246" s="525">
        <f>AH240-AH245</f>
        <v>18796.741210976019</v>
      </c>
      <c r="AK246" s="110"/>
      <c r="AM246" s="110"/>
      <c r="AO246" s="110"/>
      <c r="AQ246" s="110"/>
    </row>
    <row r="247" spans="1:43" x14ac:dyDescent="0.2">
      <c r="A247" s="278" t="s">
        <v>575</v>
      </c>
      <c r="B247" s="293"/>
      <c r="C247" s="293"/>
      <c r="D247" s="293"/>
      <c r="E247" s="293"/>
      <c r="F247" s="293"/>
      <c r="G247" s="293"/>
      <c r="I247" s="293"/>
      <c r="J247" s="293"/>
      <c r="K247" s="293"/>
      <c r="L247" s="293"/>
      <c r="M247" s="584">
        <f>IF(ISERROR(IRR(C246:AG246,0)),"Nevar aprēķināt",IRR(C246:AG246,0))</f>
        <v>2.1272705165552939</v>
      </c>
      <c r="N247" s="293"/>
      <c r="O247" s="293"/>
      <c r="Q247" s="294"/>
      <c r="R247" s="293"/>
      <c r="S247" s="293"/>
      <c r="T247" s="293"/>
      <c r="U247" s="293"/>
      <c r="V247" s="293"/>
      <c r="W247" s="293"/>
      <c r="X247" s="293"/>
      <c r="Y247" s="293"/>
      <c r="Z247" s="293"/>
      <c r="AA247" s="293"/>
      <c r="AB247" s="293"/>
      <c r="AC247" s="293"/>
      <c r="AD247" s="293"/>
      <c r="AE247" s="293"/>
      <c r="AF247" s="293"/>
      <c r="AG247" s="293"/>
      <c r="AH247" s="293"/>
      <c r="AK247" s="110"/>
      <c r="AM247" s="110"/>
      <c r="AO247" s="110"/>
      <c r="AQ247" s="110"/>
    </row>
    <row r="248" spans="1:43" x14ac:dyDescent="0.2">
      <c r="A248" s="278" t="s">
        <v>576</v>
      </c>
      <c r="M248" s="283">
        <f>NPV('Kopējie pieņēmumi'!B18,C246:AG246)</f>
        <v>216881.68129412699</v>
      </c>
      <c r="Q248" s="283"/>
      <c r="AK248" s="110"/>
      <c r="AM248" s="110"/>
      <c r="AO248" s="110"/>
      <c r="AQ248" s="110"/>
    </row>
    <row r="249" spans="1:43" x14ac:dyDescent="0.2">
      <c r="AK249" s="110"/>
      <c r="AM249" s="110"/>
      <c r="AO249" s="110"/>
      <c r="AQ249" s="110"/>
    </row>
    <row r="250" spans="1:43" x14ac:dyDescent="0.2">
      <c r="AK250" s="110"/>
      <c r="AM250" s="110"/>
      <c r="AO250" s="110"/>
      <c r="AQ250" s="110"/>
    </row>
    <row r="251" spans="1:43" ht="15" x14ac:dyDescent="0.2">
      <c r="A251" s="428" t="s">
        <v>577</v>
      </c>
      <c r="B251" s="276"/>
      <c r="C251" s="276"/>
      <c r="D251" s="276"/>
      <c r="E251" s="276"/>
      <c r="F251" s="276"/>
      <c r="G251" s="276"/>
      <c r="H251" s="276"/>
      <c r="I251" s="276"/>
      <c r="J251" s="276"/>
      <c r="K251" s="276"/>
      <c r="L251" s="276"/>
      <c r="M251" s="276"/>
      <c r="N251" s="276"/>
      <c r="O251" s="276"/>
      <c r="P251" s="276"/>
      <c r="Q251" s="276"/>
      <c r="R251" s="276"/>
      <c r="S251" s="276"/>
      <c r="T251" s="276"/>
      <c r="U251" s="276"/>
      <c r="AK251" s="110"/>
      <c r="AM251" s="110"/>
      <c r="AO251" s="110"/>
      <c r="AQ251" s="110"/>
    </row>
    <row r="252" spans="1:43" x14ac:dyDescent="0.2">
      <c r="A252" s="288" t="s">
        <v>578</v>
      </c>
      <c r="B252" s="276"/>
      <c r="C252" s="276"/>
      <c r="D252" s="276"/>
      <c r="E252" s="276"/>
      <c r="F252" s="276"/>
      <c r="G252" s="276"/>
      <c r="H252" s="276"/>
      <c r="I252" s="276"/>
      <c r="J252" s="276"/>
      <c r="K252" s="276"/>
      <c r="L252" s="276"/>
      <c r="M252" s="276"/>
      <c r="N252" s="276"/>
      <c r="O252" s="276"/>
      <c r="P252" s="276"/>
      <c r="Q252" s="276"/>
      <c r="R252" s="276"/>
      <c r="S252" s="276"/>
      <c r="T252" s="276"/>
      <c r="U252" s="276"/>
      <c r="AK252" s="110"/>
      <c r="AM252" s="110"/>
      <c r="AO252" s="110"/>
      <c r="AQ252" s="110"/>
    </row>
    <row r="253" spans="1:43" x14ac:dyDescent="0.2">
      <c r="A253" s="30"/>
      <c r="B253" s="522">
        <f>Aprēķini!B6</f>
        <v>2017</v>
      </c>
      <c r="C253" s="522">
        <f t="shared" ref="C253:AG253" si="115">B253+1</f>
        <v>2018</v>
      </c>
      <c r="D253" s="522">
        <f>C253+1</f>
        <v>2019</v>
      </c>
      <c r="E253" s="522">
        <f t="shared" si="115"/>
        <v>2020</v>
      </c>
      <c r="F253" s="522">
        <f t="shared" si="115"/>
        <v>2021</v>
      </c>
      <c r="G253" s="522">
        <f t="shared" si="115"/>
        <v>2022</v>
      </c>
      <c r="H253" s="522">
        <f t="shared" si="115"/>
        <v>2023</v>
      </c>
      <c r="I253" s="522">
        <f t="shared" si="115"/>
        <v>2024</v>
      </c>
      <c r="J253" s="522">
        <f t="shared" si="115"/>
        <v>2025</v>
      </c>
      <c r="K253" s="522">
        <f t="shared" si="115"/>
        <v>2026</v>
      </c>
      <c r="L253" s="522">
        <f t="shared" si="115"/>
        <v>2027</v>
      </c>
      <c r="M253" s="522">
        <f t="shared" si="115"/>
        <v>2028</v>
      </c>
      <c r="N253" s="522">
        <f t="shared" si="115"/>
        <v>2029</v>
      </c>
      <c r="O253" s="522">
        <f t="shared" si="115"/>
        <v>2030</v>
      </c>
      <c r="P253" s="522">
        <f t="shared" si="115"/>
        <v>2031</v>
      </c>
      <c r="Q253" s="522">
        <f t="shared" si="115"/>
        <v>2032</v>
      </c>
      <c r="R253" s="522">
        <f t="shared" si="115"/>
        <v>2033</v>
      </c>
      <c r="S253" s="522">
        <f t="shared" si="115"/>
        <v>2034</v>
      </c>
      <c r="T253" s="522">
        <f t="shared" si="115"/>
        <v>2035</v>
      </c>
      <c r="U253" s="522">
        <f t="shared" si="115"/>
        <v>2036</v>
      </c>
      <c r="V253" s="522">
        <f t="shared" si="115"/>
        <v>2037</v>
      </c>
      <c r="W253" s="522">
        <f t="shared" si="115"/>
        <v>2038</v>
      </c>
      <c r="X253" s="522">
        <f t="shared" si="115"/>
        <v>2039</v>
      </c>
      <c r="Y253" s="522">
        <f t="shared" si="115"/>
        <v>2040</v>
      </c>
      <c r="Z253" s="522">
        <f t="shared" si="115"/>
        <v>2041</v>
      </c>
      <c r="AA253" s="522">
        <f t="shared" si="115"/>
        <v>2042</v>
      </c>
      <c r="AB253" s="522">
        <f t="shared" si="115"/>
        <v>2043</v>
      </c>
      <c r="AC253" s="522">
        <f t="shared" si="115"/>
        <v>2044</v>
      </c>
      <c r="AD253" s="522">
        <f t="shared" si="115"/>
        <v>2045</v>
      </c>
      <c r="AE253" s="522">
        <f t="shared" si="115"/>
        <v>2046</v>
      </c>
      <c r="AF253" s="522">
        <f t="shared" si="115"/>
        <v>2047</v>
      </c>
      <c r="AG253" s="522">
        <f t="shared" si="115"/>
        <v>2048</v>
      </c>
      <c r="AH253" s="522">
        <f>AG253+1</f>
        <v>2049</v>
      </c>
      <c r="AK253" s="110"/>
      <c r="AM253" s="110"/>
      <c r="AO253" s="110"/>
      <c r="AQ253" s="110"/>
    </row>
    <row r="254" spans="1:43" x14ac:dyDescent="0.2">
      <c r="A254" s="30" t="s">
        <v>579</v>
      </c>
      <c r="B254" s="573">
        <f>'Datu ievade'!B221</f>
        <v>5.0000000000000001E-3</v>
      </c>
      <c r="C254" s="573"/>
      <c r="D254" s="573"/>
      <c r="E254" s="573"/>
      <c r="F254" s="573"/>
      <c r="G254" s="573"/>
      <c r="H254" s="573"/>
      <c r="I254" s="573"/>
      <c r="J254" s="573"/>
      <c r="K254" s="573"/>
      <c r="L254" s="573"/>
      <c r="M254" s="573"/>
      <c r="N254" s="573"/>
      <c r="O254" s="573"/>
      <c r="P254" s="573"/>
      <c r="Q254" s="573"/>
      <c r="R254" s="573"/>
      <c r="S254" s="573"/>
      <c r="T254" s="573"/>
      <c r="U254" s="573"/>
      <c r="V254" s="573"/>
      <c r="W254" s="573"/>
      <c r="X254" s="573"/>
      <c r="Y254" s="573"/>
      <c r="Z254" s="573"/>
      <c r="AA254" s="573"/>
      <c r="AB254" s="573"/>
      <c r="AC254" s="573"/>
      <c r="AD254" s="573"/>
      <c r="AE254" s="573"/>
      <c r="AF254" s="573"/>
      <c r="AG254" s="573"/>
      <c r="AH254" s="573"/>
      <c r="AK254" s="110"/>
      <c r="AM254" s="110"/>
      <c r="AO254" s="110"/>
      <c r="AQ254" s="110"/>
    </row>
    <row r="255" spans="1:43" x14ac:dyDescent="0.2">
      <c r="A255" s="30" t="s">
        <v>580</v>
      </c>
      <c r="B255" s="524">
        <f>B160</f>
        <v>248516.8</v>
      </c>
      <c r="C255" s="524">
        <f>C160</f>
        <v>91482.2</v>
      </c>
      <c r="D255" s="524">
        <f>'Datu ievade'!D220</f>
        <v>239416.73</v>
      </c>
      <c r="E255" s="524">
        <v>0</v>
      </c>
      <c r="F255" s="524">
        <f t="shared" ref="F255:AH255" si="116">F160</f>
        <v>0</v>
      </c>
      <c r="G255" s="524">
        <f t="shared" si="116"/>
        <v>0</v>
      </c>
      <c r="H255" s="524">
        <f t="shared" si="116"/>
        <v>0</v>
      </c>
      <c r="I255" s="524">
        <f t="shared" si="116"/>
        <v>0</v>
      </c>
      <c r="J255" s="524">
        <f t="shared" si="116"/>
        <v>0</v>
      </c>
      <c r="K255" s="524">
        <f t="shared" si="116"/>
        <v>0</v>
      </c>
      <c r="L255" s="524">
        <f t="shared" si="116"/>
        <v>0</v>
      </c>
      <c r="M255" s="524">
        <f t="shared" si="116"/>
        <v>0</v>
      </c>
      <c r="N255" s="524">
        <f t="shared" si="116"/>
        <v>0</v>
      </c>
      <c r="O255" s="524">
        <f t="shared" si="116"/>
        <v>0</v>
      </c>
      <c r="P255" s="524">
        <f t="shared" si="116"/>
        <v>0</v>
      </c>
      <c r="Q255" s="524">
        <f t="shared" si="116"/>
        <v>0</v>
      </c>
      <c r="R255" s="524">
        <f t="shared" si="116"/>
        <v>0</v>
      </c>
      <c r="S255" s="524">
        <f t="shared" si="116"/>
        <v>0</v>
      </c>
      <c r="T255" s="524">
        <f t="shared" si="116"/>
        <v>0</v>
      </c>
      <c r="U255" s="524">
        <f t="shared" si="116"/>
        <v>0</v>
      </c>
      <c r="V255" s="524">
        <f t="shared" si="116"/>
        <v>0</v>
      </c>
      <c r="W255" s="524">
        <f t="shared" si="116"/>
        <v>0</v>
      </c>
      <c r="X255" s="524">
        <f t="shared" si="116"/>
        <v>0</v>
      </c>
      <c r="Y255" s="524">
        <f t="shared" si="116"/>
        <v>0</v>
      </c>
      <c r="Z255" s="524">
        <f t="shared" si="116"/>
        <v>0</v>
      </c>
      <c r="AA255" s="524">
        <f t="shared" si="116"/>
        <v>0</v>
      </c>
      <c r="AB255" s="524">
        <f t="shared" si="116"/>
        <v>0</v>
      </c>
      <c r="AC255" s="524">
        <f t="shared" si="116"/>
        <v>0</v>
      </c>
      <c r="AD255" s="524">
        <f t="shared" si="116"/>
        <v>0</v>
      </c>
      <c r="AE255" s="524">
        <f t="shared" si="116"/>
        <v>0</v>
      </c>
      <c r="AF255" s="524">
        <f t="shared" si="116"/>
        <v>0</v>
      </c>
      <c r="AG255" s="524">
        <f t="shared" si="116"/>
        <v>0</v>
      </c>
      <c r="AH255" s="524">
        <f t="shared" si="116"/>
        <v>0</v>
      </c>
      <c r="AK255" s="110"/>
      <c r="AM255" s="110"/>
      <c r="AO255" s="110"/>
      <c r="AQ255" s="110"/>
    </row>
    <row r="256" spans="1:43" x14ac:dyDescent="0.2">
      <c r="A256" s="523" t="s">
        <v>581</v>
      </c>
      <c r="B256" s="525">
        <f t="shared" ref="B256:AG256" si="117">SUM(B257:B258)</f>
        <v>1242.5840000000001</v>
      </c>
      <c r="C256" s="525">
        <f t="shared" si="117"/>
        <v>1242.5840000000001</v>
      </c>
      <c r="D256" s="525">
        <f t="shared" si="117"/>
        <v>1699.9950000000001</v>
      </c>
      <c r="E256" s="525">
        <f t="shared" si="117"/>
        <v>10877.636316666667</v>
      </c>
      <c r="F256" s="525">
        <f t="shared" si="117"/>
        <v>10837.733528333334</v>
      </c>
      <c r="G256" s="525">
        <f t="shared" si="117"/>
        <v>10797.830739999999</v>
      </c>
      <c r="H256" s="525">
        <f t="shared" si="117"/>
        <v>10757.927951666667</v>
      </c>
      <c r="I256" s="525">
        <f t="shared" si="117"/>
        <v>10718.025163333332</v>
      </c>
      <c r="J256" s="525">
        <f t="shared" si="117"/>
        <v>10678.122374999999</v>
      </c>
      <c r="K256" s="525">
        <f t="shared" si="117"/>
        <v>10638.219586666666</v>
      </c>
      <c r="L256" s="525">
        <f t="shared" si="117"/>
        <v>10598.316798333333</v>
      </c>
      <c r="M256" s="525">
        <f t="shared" si="117"/>
        <v>10558.414009999999</v>
      </c>
      <c r="N256" s="525">
        <f t="shared" si="117"/>
        <v>10518.511221666666</v>
      </c>
      <c r="O256" s="525">
        <f t="shared" si="117"/>
        <v>10478.608433333331</v>
      </c>
      <c r="P256" s="525">
        <f t="shared" si="117"/>
        <v>10438.705644999998</v>
      </c>
      <c r="Q256" s="525">
        <f t="shared" si="117"/>
        <v>10398.802856666665</v>
      </c>
      <c r="R256" s="525">
        <f t="shared" si="117"/>
        <v>10358.900068333332</v>
      </c>
      <c r="S256" s="525">
        <f t="shared" si="117"/>
        <v>10318.997279999998</v>
      </c>
      <c r="T256" s="525">
        <f t="shared" si="117"/>
        <v>10279.094491666665</v>
      </c>
      <c r="U256" s="525">
        <f t="shared" si="117"/>
        <v>10239.191703333332</v>
      </c>
      <c r="V256" s="525">
        <f t="shared" si="117"/>
        <v>10199.288914999997</v>
      </c>
      <c r="W256" s="525">
        <f t="shared" si="117"/>
        <v>10159.386126666664</v>
      </c>
      <c r="X256" s="525">
        <f t="shared" si="117"/>
        <v>10119.483338333332</v>
      </c>
      <c r="Y256" s="525">
        <f t="shared" si="117"/>
        <v>10079.580549999997</v>
      </c>
      <c r="Z256" s="525">
        <f t="shared" si="117"/>
        <v>10039.677761666664</v>
      </c>
      <c r="AA256" s="525">
        <f t="shared" si="117"/>
        <v>9999.7749733333312</v>
      </c>
      <c r="AB256" s="525">
        <f t="shared" si="117"/>
        <v>9959.8721849999965</v>
      </c>
      <c r="AC256" s="525">
        <f t="shared" si="117"/>
        <v>9919.9693966666637</v>
      </c>
      <c r="AD256" s="525">
        <f t="shared" si="117"/>
        <v>9880.0666083333308</v>
      </c>
      <c r="AE256" s="525">
        <f t="shared" si="117"/>
        <v>9840.1638199999979</v>
      </c>
      <c r="AF256" s="525">
        <f t="shared" si="117"/>
        <v>9800.2610316666633</v>
      </c>
      <c r="AG256" s="525">
        <f t="shared" si="117"/>
        <v>9760.3582433333304</v>
      </c>
      <c r="AH256" s="525">
        <f>SUM(AH257:AH258)</f>
        <v>9720.4554549999957</v>
      </c>
      <c r="AK256" s="110"/>
      <c r="AM256" s="110"/>
      <c r="AO256" s="110"/>
      <c r="AQ256" s="110"/>
    </row>
    <row r="257" spans="1:43" x14ac:dyDescent="0.2">
      <c r="A257" s="30" t="s">
        <v>572</v>
      </c>
      <c r="B257" s="524">
        <f>B259*$B$254</f>
        <v>1242.5840000000001</v>
      </c>
      <c r="C257" s="524">
        <f>B259*$B$254</f>
        <v>1242.5840000000001</v>
      </c>
      <c r="D257" s="524">
        <f t="shared" ref="D257:AG257" si="118">C259*$B$254</f>
        <v>1699.9950000000001</v>
      </c>
      <c r="E257" s="524">
        <f t="shared" si="118"/>
        <v>2897.0786499999999</v>
      </c>
      <c r="F257" s="524">
        <f t="shared" si="118"/>
        <v>2857.1758616666666</v>
      </c>
      <c r="G257" s="524">
        <f t="shared" si="118"/>
        <v>2817.2730733333333</v>
      </c>
      <c r="H257" s="524">
        <f t="shared" si="118"/>
        <v>2777.3702849999995</v>
      </c>
      <c r="I257" s="524">
        <f t="shared" si="118"/>
        <v>2737.4674966666662</v>
      </c>
      <c r="J257" s="524">
        <f t="shared" si="118"/>
        <v>2697.5647083333329</v>
      </c>
      <c r="K257" s="524">
        <f t="shared" si="118"/>
        <v>2657.6619199999991</v>
      </c>
      <c r="L257" s="524">
        <f t="shared" si="118"/>
        <v>2617.7591316666658</v>
      </c>
      <c r="M257" s="524">
        <f t="shared" si="118"/>
        <v>2577.8563433333325</v>
      </c>
      <c r="N257" s="524">
        <f t="shared" si="118"/>
        <v>2537.9535549999991</v>
      </c>
      <c r="O257" s="524">
        <f t="shared" si="118"/>
        <v>2498.0507666666654</v>
      </c>
      <c r="P257" s="524">
        <f t="shared" si="118"/>
        <v>2458.147978333332</v>
      </c>
      <c r="Q257" s="524">
        <f t="shared" si="118"/>
        <v>2418.2451899999987</v>
      </c>
      <c r="R257" s="524">
        <f t="shared" si="118"/>
        <v>2378.342401666665</v>
      </c>
      <c r="S257" s="524">
        <f t="shared" si="118"/>
        <v>2338.4396133333316</v>
      </c>
      <c r="T257" s="524">
        <f t="shared" si="118"/>
        <v>2298.5368249999983</v>
      </c>
      <c r="U257" s="524">
        <f t="shared" si="118"/>
        <v>2258.634036666665</v>
      </c>
      <c r="V257" s="524">
        <f t="shared" si="118"/>
        <v>2218.7312483333312</v>
      </c>
      <c r="W257" s="524">
        <f t="shared" si="118"/>
        <v>2178.8284599999979</v>
      </c>
      <c r="X257" s="524">
        <f t="shared" si="118"/>
        <v>2138.9256716666646</v>
      </c>
      <c r="Y257" s="524">
        <f t="shared" si="118"/>
        <v>2099.0228833333308</v>
      </c>
      <c r="Z257" s="524">
        <f t="shared" si="118"/>
        <v>2059.1200949999975</v>
      </c>
      <c r="AA257" s="524">
        <f t="shared" si="118"/>
        <v>2019.2173066666642</v>
      </c>
      <c r="AB257" s="524">
        <f t="shared" si="118"/>
        <v>1979.3145183333306</v>
      </c>
      <c r="AC257" s="524">
        <f t="shared" si="118"/>
        <v>1939.4117299999973</v>
      </c>
      <c r="AD257" s="524">
        <f t="shared" si="118"/>
        <v>1899.5089416666638</v>
      </c>
      <c r="AE257" s="524">
        <f t="shared" si="118"/>
        <v>1859.6061533333304</v>
      </c>
      <c r="AF257" s="524">
        <f t="shared" si="118"/>
        <v>1819.7033649999969</v>
      </c>
      <c r="AG257" s="524">
        <f t="shared" si="118"/>
        <v>1779.8005766666633</v>
      </c>
      <c r="AH257" s="524">
        <f>AG259*$B$254</f>
        <v>1739.89778833333</v>
      </c>
      <c r="AK257" s="110"/>
      <c r="AM257" s="110"/>
      <c r="AO257" s="110"/>
      <c r="AQ257" s="110"/>
    </row>
    <row r="258" spans="1:43" x14ac:dyDescent="0.2">
      <c r="A258" s="30" t="s">
        <v>364</v>
      </c>
      <c r="B258" s="524">
        <f>'gadu šķirošana'!C60</f>
        <v>0</v>
      </c>
      <c r="C258" s="524">
        <f>'gadu šķirošana'!D60</f>
        <v>0</v>
      </c>
      <c r="D258" s="524">
        <f>'gadu šķirošana'!E60</f>
        <v>0</v>
      </c>
      <c r="E258" s="524">
        <f>$D$255/30</f>
        <v>7980.5576666666666</v>
      </c>
      <c r="F258" s="524">
        <f t="shared" ref="F258:AH258" si="119">$D$255/30</f>
        <v>7980.5576666666666</v>
      </c>
      <c r="G258" s="524">
        <f t="shared" si="119"/>
        <v>7980.5576666666666</v>
      </c>
      <c r="H258" s="524">
        <f t="shared" si="119"/>
        <v>7980.5576666666666</v>
      </c>
      <c r="I258" s="524">
        <f t="shared" si="119"/>
        <v>7980.5576666666666</v>
      </c>
      <c r="J258" s="524">
        <f t="shared" si="119"/>
        <v>7980.5576666666666</v>
      </c>
      <c r="K258" s="524">
        <f t="shared" si="119"/>
        <v>7980.5576666666666</v>
      </c>
      <c r="L258" s="524">
        <f t="shared" si="119"/>
        <v>7980.5576666666666</v>
      </c>
      <c r="M258" s="524">
        <f t="shared" si="119"/>
        <v>7980.5576666666666</v>
      </c>
      <c r="N258" s="524">
        <f t="shared" si="119"/>
        <v>7980.5576666666666</v>
      </c>
      <c r="O258" s="524">
        <f t="shared" si="119"/>
        <v>7980.5576666666666</v>
      </c>
      <c r="P258" s="524">
        <f t="shared" si="119"/>
        <v>7980.5576666666666</v>
      </c>
      <c r="Q258" s="524">
        <f t="shared" si="119"/>
        <v>7980.5576666666666</v>
      </c>
      <c r="R258" s="524">
        <f t="shared" si="119"/>
        <v>7980.5576666666666</v>
      </c>
      <c r="S258" s="524">
        <f t="shared" si="119"/>
        <v>7980.5576666666666</v>
      </c>
      <c r="T258" s="524">
        <f t="shared" si="119"/>
        <v>7980.5576666666666</v>
      </c>
      <c r="U258" s="524">
        <f t="shared" si="119"/>
        <v>7980.5576666666666</v>
      </c>
      <c r="V258" s="524">
        <f t="shared" si="119"/>
        <v>7980.5576666666666</v>
      </c>
      <c r="W258" s="524">
        <f t="shared" si="119"/>
        <v>7980.5576666666666</v>
      </c>
      <c r="X258" s="524">
        <f t="shared" si="119"/>
        <v>7980.5576666666666</v>
      </c>
      <c r="Y258" s="524">
        <f t="shared" si="119"/>
        <v>7980.5576666666666</v>
      </c>
      <c r="Z258" s="524">
        <f>$D$255/30</f>
        <v>7980.5576666666666</v>
      </c>
      <c r="AA258" s="524">
        <f t="shared" si="119"/>
        <v>7980.5576666666666</v>
      </c>
      <c r="AB258" s="524">
        <f t="shared" si="119"/>
        <v>7980.5576666666666</v>
      </c>
      <c r="AC258" s="524">
        <f t="shared" si="119"/>
        <v>7980.5576666666666</v>
      </c>
      <c r="AD258" s="524">
        <f t="shared" si="119"/>
        <v>7980.5576666666666</v>
      </c>
      <c r="AE258" s="524">
        <f t="shared" si="119"/>
        <v>7980.5576666666666</v>
      </c>
      <c r="AF258" s="524">
        <f t="shared" si="119"/>
        <v>7980.5576666666666</v>
      </c>
      <c r="AG258" s="524">
        <f t="shared" si="119"/>
        <v>7980.5576666666666</v>
      </c>
      <c r="AH258" s="524">
        <f t="shared" si="119"/>
        <v>7980.5576666666666</v>
      </c>
      <c r="AI258" s="279"/>
      <c r="AK258" s="110"/>
      <c r="AM258" s="110"/>
      <c r="AO258" s="110"/>
      <c r="AQ258" s="110"/>
    </row>
    <row r="259" spans="1:43" x14ac:dyDescent="0.2">
      <c r="A259" s="523" t="s">
        <v>582</v>
      </c>
      <c r="B259" s="525">
        <f>B255</f>
        <v>248516.8</v>
      </c>
      <c r="C259" s="525">
        <f t="shared" ref="C259:AG259" si="120">(B259+C255)-C258</f>
        <v>339999</v>
      </c>
      <c r="D259" s="525">
        <f t="shared" si="120"/>
        <v>579415.73</v>
      </c>
      <c r="E259" s="525">
        <f t="shared" si="120"/>
        <v>571435.17233333329</v>
      </c>
      <c r="F259" s="525">
        <f t="shared" si="120"/>
        <v>563454.6146666666</v>
      </c>
      <c r="G259" s="525">
        <f t="shared" si="120"/>
        <v>555474.05699999991</v>
      </c>
      <c r="H259" s="525">
        <f t="shared" si="120"/>
        <v>547493.49933333322</v>
      </c>
      <c r="I259" s="525">
        <f t="shared" si="120"/>
        <v>539512.94166666653</v>
      </c>
      <c r="J259" s="525">
        <f t="shared" si="120"/>
        <v>531532.38399999985</v>
      </c>
      <c r="K259" s="525">
        <f t="shared" si="120"/>
        <v>523551.82633333316</v>
      </c>
      <c r="L259" s="525">
        <f t="shared" si="120"/>
        <v>515571.26866666647</v>
      </c>
      <c r="M259" s="525">
        <f t="shared" si="120"/>
        <v>507590.71099999978</v>
      </c>
      <c r="N259" s="525">
        <f t="shared" si="120"/>
        <v>499610.15333333309</v>
      </c>
      <c r="O259" s="525">
        <f t="shared" si="120"/>
        <v>491629.5956666664</v>
      </c>
      <c r="P259" s="525">
        <f t="shared" si="120"/>
        <v>483649.03799999971</v>
      </c>
      <c r="Q259" s="525">
        <f t="shared" si="120"/>
        <v>475668.48033333302</v>
      </c>
      <c r="R259" s="525">
        <f t="shared" si="120"/>
        <v>467687.92266666633</v>
      </c>
      <c r="S259" s="525">
        <f t="shared" si="120"/>
        <v>459707.36499999964</v>
      </c>
      <c r="T259" s="525">
        <f t="shared" si="120"/>
        <v>451726.80733333295</v>
      </c>
      <c r="U259" s="525">
        <f t="shared" si="120"/>
        <v>443746.24966666626</v>
      </c>
      <c r="V259" s="525">
        <f t="shared" si="120"/>
        <v>435765.69199999957</v>
      </c>
      <c r="W259" s="525">
        <f t="shared" si="120"/>
        <v>427785.13433333288</v>
      </c>
      <c r="X259" s="525">
        <f t="shared" si="120"/>
        <v>419804.57666666619</v>
      </c>
      <c r="Y259" s="525">
        <f t="shared" si="120"/>
        <v>411824.01899999951</v>
      </c>
      <c r="Z259" s="525">
        <f t="shared" si="120"/>
        <v>403843.46133333282</v>
      </c>
      <c r="AA259" s="525">
        <f t="shared" si="120"/>
        <v>395862.90366666613</v>
      </c>
      <c r="AB259" s="525">
        <f t="shared" si="120"/>
        <v>387882.34599999944</v>
      </c>
      <c r="AC259" s="525">
        <f t="shared" si="120"/>
        <v>379901.78833333275</v>
      </c>
      <c r="AD259" s="525">
        <f t="shared" si="120"/>
        <v>371921.23066666606</v>
      </c>
      <c r="AE259" s="525">
        <f t="shared" si="120"/>
        <v>363940.67299999937</v>
      </c>
      <c r="AF259" s="525">
        <f t="shared" si="120"/>
        <v>355960.11533333268</v>
      </c>
      <c r="AG259" s="525">
        <f t="shared" si="120"/>
        <v>347979.55766666599</v>
      </c>
      <c r="AH259" s="525">
        <f>(AG259+AH255)-AH258</f>
        <v>339998.9999999993</v>
      </c>
      <c r="AK259" s="110"/>
      <c r="AM259" s="110"/>
      <c r="AO259" s="110"/>
      <c r="AQ259" s="110"/>
    </row>
    <row r="260" spans="1:43" x14ac:dyDescent="0.2">
      <c r="A260" s="118"/>
      <c r="C260" s="277">
        <f>SUM(B255:AH255)</f>
        <v>579415.73</v>
      </c>
      <c r="D260" s="576" t="s">
        <v>583</v>
      </c>
      <c r="E260" s="293"/>
      <c r="F260" s="293"/>
      <c r="G260" s="293"/>
      <c r="H260" s="293"/>
      <c r="I260" s="293"/>
      <c r="J260" s="293"/>
      <c r="K260" s="293"/>
      <c r="L260" s="293"/>
      <c r="M260" s="424"/>
      <c r="N260" s="424"/>
      <c r="O260" s="424"/>
      <c r="P260" s="424"/>
      <c r="Q260" s="424"/>
      <c r="R260" s="424"/>
      <c r="S260" s="424"/>
      <c r="T260" s="424"/>
      <c r="U260" s="424"/>
      <c r="V260" s="424"/>
      <c r="W260" s="424"/>
      <c r="X260" s="424"/>
      <c r="Y260" s="424"/>
      <c r="Z260" s="424"/>
      <c r="AA260" s="424"/>
      <c r="AB260" s="424"/>
      <c r="AC260" s="424"/>
      <c r="AD260" s="424"/>
      <c r="AE260" s="424"/>
      <c r="AF260" s="424"/>
      <c r="AG260" s="424"/>
      <c r="AH260" s="424"/>
      <c r="AK260" s="110"/>
      <c r="AM260" s="110"/>
      <c r="AO260" s="110"/>
      <c r="AQ260" s="110"/>
    </row>
    <row r="261" spans="1:43" ht="51" x14ac:dyDescent="0.2">
      <c r="A261" s="118" t="s">
        <v>584</v>
      </c>
      <c r="AK261" s="110"/>
      <c r="AM261" s="110"/>
      <c r="AO261" s="110"/>
      <c r="AQ261" s="110"/>
    </row>
    <row r="262" spans="1:43" ht="10.5" customHeight="1" x14ac:dyDescent="0.2">
      <c r="AK262" s="110"/>
      <c r="AM262" s="110"/>
      <c r="AO262" s="110"/>
      <c r="AQ262" s="110"/>
    </row>
    <row r="263" spans="1:43" ht="15" x14ac:dyDescent="0.2">
      <c r="A263" s="428" t="s">
        <v>585</v>
      </c>
      <c r="F263" s="110"/>
      <c r="G263" s="110"/>
      <c r="H263" s="110"/>
      <c r="I263" s="110"/>
      <c r="AK263" s="110"/>
      <c r="AM263" s="110"/>
      <c r="AO263" s="110"/>
      <c r="AQ263" s="110"/>
    </row>
    <row r="264" spans="1:43" x14ac:dyDescent="0.2">
      <c r="A264" s="30"/>
      <c r="B264" s="522">
        <f>Aprēķini!B6</f>
        <v>2017</v>
      </c>
      <c r="C264" s="522">
        <f t="shared" ref="C264:AG264" si="121">B264+1</f>
        <v>2018</v>
      </c>
      <c r="D264" s="522">
        <f t="shared" si="121"/>
        <v>2019</v>
      </c>
      <c r="E264" s="522">
        <f t="shared" si="121"/>
        <v>2020</v>
      </c>
      <c r="F264" s="522">
        <f t="shared" si="121"/>
        <v>2021</v>
      </c>
      <c r="G264" s="522">
        <f t="shared" si="121"/>
        <v>2022</v>
      </c>
      <c r="H264" s="522">
        <f t="shared" si="121"/>
        <v>2023</v>
      </c>
      <c r="I264" s="522">
        <f t="shared" si="121"/>
        <v>2024</v>
      </c>
      <c r="J264" s="522">
        <f t="shared" si="121"/>
        <v>2025</v>
      </c>
      <c r="K264" s="522">
        <f t="shared" si="121"/>
        <v>2026</v>
      </c>
      <c r="L264" s="522">
        <f t="shared" si="121"/>
        <v>2027</v>
      </c>
      <c r="M264" s="522">
        <f t="shared" si="121"/>
        <v>2028</v>
      </c>
      <c r="N264" s="522">
        <f t="shared" si="121"/>
        <v>2029</v>
      </c>
      <c r="O264" s="522">
        <f t="shared" si="121"/>
        <v>2030</v>
      </c>
      <c r="P264" s="522">
        <f t="shared" si="121"/>
        <v>2031</v>
      </c>
      <c r="Q264" s="522">
        <f t="shared" si="121"/>
        <v>2032</v>
      </c>
      <c r="R264" s="522">
        <f t="shared" si="121"/>
        <v>2033</v>
      </c>
      <c r="S264" s="522">
        <f t="shared" si="121"/>
        <v>2034</v>
      </c>
      <c r="T264" s="522">
        <f t="shared" si="121"/>
        <v>2035</v>
      </c>
      <c r="U264" s="522">
        <f t="shared" si="121"/>
        <v>2036</v>
      </c>
      <c r="V264" s="522">
        <f t="shared" si="121"/>
        <v>2037</v>
      </c>
      <c r="W264" s="522">
        <f t="shared" si="121"/>
        <v>2038</v>
      </c>
      <c r="X264" s="522">
        <f t="shared" si="121"/>
        <v>2039</v>
      </c>
      <c r="Y264" s="522">
        <f t="shared" si="121"/>
        <v>2040</v>
      </c>
      <c r="Z264" s="522">
        <f t="shared" si="121"/>
        <v>2041</v>
      </c>
      <c r="AA264" s="522">
        <f t="shared" si="121"/>
        <v>2042</v>
      </c>
      <c r="AB264" s="522">
        <f t="shared" si="121"/>
        <v>2043</v>
      </c>
      <c r="AC264" s="522">
        <f t="shared" si="121"/>
        <v>2044</v>
      </c>
      <c r="AD264" s="522">
        <f t="shared" si="121"/>
        <v>2045</v>
      </c>
      <c r="AE264" s="522">
        <f t="shared" si="121"/>
        <v>2046</v>
      </c>
      <c r="AF264" s="522">
        <f t="shared" si="121"/>
        <v>2047</v>
      </c>
      <c r="AG264" s="522">
        <f t="shared" si="121"/>
        <v>2048</v>
      </c>
      <c r="AH264" s="522">
        <f>AG264+1</f>
        <v>2049</v>
      </c>
      <c r="AK264" s="110"/>
      <c r="AM264" s="110"/>
      <c r="AO264" s="110"/>
      <c r="AQ264" s="110"/>
    </row>
    <row r="265" spans="1:43" x14ac:dyDescent="0.2">
      <c r="A265" s="523" t="s">
        <v>538</v>
      </c>
      <c r="B265" s="525">
        <f t="shared" ref="B265:AG265" si="122">SUM(B266,B271)</f>
        <v>824206.17999999993</v>
      </c>
      <c r="C265" s="525">
        <f t="shared" si="122"/>
        <v>827091.39593282482</v>
      </c>
      <c r="D265" s="525">
        <f t="shared" si="122"/>
        <v>916197.94489617913</v>
      </c>
      <c r="E265" s="525">
        <f t="shared" si="122"/>
        <v>968284.64576872415</v>
      </c>
      <c r="F265" s="525">
        <f t="shared" si="122"/>
        <v>982011.45889525639</v>
      </c>
      <c r="G265" s="525">
        <f t="shared" si="122"/>
        <v>995778.48024007771</v>
      </c>
      <c r="H265" s="525">
        <f t="shared" si="122"/>
        <v>1007940.3123077089</v>
      </c>
      <c r="I265" s="525">
        <f t="shared" si="122"/>
        <v>1020100.5730147939</v>
      </c>
      <c r="J265" s="525">
        <f t="shared" si="122"/>
        <v>1036077.7811744208</v>
      </c>
      <c r="K265" s="525">
        <f t="shared" si="122"/>
        <v>1048586.4656140516</v>
      </c>
      <c r="L265" s="525">
        <f t="shared" si="122"/>
        <v>1064569.9592158624</v>
      </c>
      <c r="M265" s="525">
        <f t="shared" si="122"/>
        <v>1080205.0290851276</v>
      </c>
      <c r="N265" s="525">
        <f t="shared" si="122"/>
        <v>1089396.5139999785</v>
      </c>
      <c r="O265" s="525">
        <f t="shared" si="122"/>
        <v>1078504.0246204953</v>
      </c>
      <c r="P265" s="525">
        <f t="shared" si="122"/>
        <v>1096571.7751753959</v>
      </c>
      <c r="Q265" s="525">
        <f t="shared" si="122"/>
        <v>1113930.1073808372</v>
      </c>
      <c r="R265" s="525">
        <f t="shared" si="122"/>
        <v>1087548.8994217678</v>
      </c>
      <c r="S265" s="525">
        <f t="shared" si="122"/>
        <v>1092109.8351557821</v>
      </c>
      <c r="T265" s="525">
        <f t="shared" si="122"/>
        <v>1107037.0580361336</v>
      </c>
      <c r="U265" s="525">
        <f t="shared" si="122"/>
        <v>1126492.2180790328</v>
      </c>
      <c r="V265" s="525">
        <f t="shared" si="122"/>
        <v>1153926.5540384692</v>
      </c>
      <c r="W265" s="525">
        <f t="shared" si="122"/>
        <v>1173730.1378139146</v>
      </c>
      <c r="X265" s="525">
        <f t="shared" si="122"/>
        <v>1195960.1168328105</v>
      </c>
      <c r="Y265" s="525">
        <f t="shared" si="122"/>
        <v>1215763.7006082553</v>
      </c>
      <c r="Z265" s="525">
        <f t="shared" si="122"/>
        <v>1235218.8606511545</v>
      </c>
      <c r="AA265" s="525">
        <f t="shared" si="122"/>
        <v>1255022.4444265994</v>
      </c>
      <c r="AB265" s="525">
        <f t="shared" si="122"/>
        <v>1278299.2660036788</v>
      </c>
      <c r="AC265" s="525">
        <f t="shared" si="122"/>
        <v>1337997.1580012636</v>
      </c>
      <c r="AD265" s="525">
        <f t="shared" si="122"/>
        <v>1458147.9298017281</v>
      </c>
      <c r="AE265" s="525">
        <f t="shared" si="122"/>
        <v>1483507.436971351</v>
      </c>
      <c r="AF265" s="525">
        <f t="shared" si="122"/>
        <v>1503279.5935358754</v>
      </c>
      <c r="AG265" s="525">
        <f t="shared" si="122"/>
        <v>1532112.3385071321</v>
      </c>
      <c r="AH265" s="525">
        <f>SUM(AH266,AH271)</f>
        <v>1560945.0834783893</v>
      </c>
      <c r="AK265" s="110"/>
      <c r="AM265" s="110"/>
      <c r="AO265" s="110"/>
      <c r="AQ265" s="110"/>
    </row>
    <row r="266" spans="1:43" x14ac:dyDescent="0.2">
      <c r="A266" s="60" t="s">
        <v>299</v>
      </c>
      <c r="B266" s="574">
        <f>SUM(B267:B270)</f>
        <v>333868.18</v>
      </c>
      <c r="C266" s="574">
        <f t="shared" ref="C266:AG266" si="123">SUM(C267:C270)</f>
        <v>334198.29360902257</v>
      </c>
      <c r="D266" s="574">
        <f t="shared" si="123"/>
        <v>339958.06919951667</v>
      </c>
      <c r="E266" s="574">
        <f t="shared" si="123"/>
        <v>345108.5593423738</v>
      </c>
      <c r="F266" s="574">
        <f t="shared" si="123"/>
        <v>350196.75160230941</v>
      </c>
      <c r="G266" s="574">
        <f t="shared" si="123"/>
        <v>355307.11349489802</v>
      </c>
      <c r="H266" s="574">
        <f t="shared" si="123"/>
        <v>360185.04575053713</v>
      </c>
      <c r="I266" s="574">
        <f t="shared" si="123"/>
        <v>364714.55427363055</v>
      </c>
      <c r="J266" s="574">
        <f t="shared" si="123"/>
        <v>369592.4865292696</v>
      </c>
      <c r="K266" s="574">
        <f t="shared" si="123"/>
        <v>374470.41878490872</v>
      </c>
      <c r="L266" s="574">
        <f t="shared" si="123"/>
        <v>380742.04597073048</v>
      </c>
      <c r="M266" s="574">
        <f t="shared" si="123"/>
        <v>386665.24942400656</v>
      </c>
      <c r="N266" s="574">
        <f t="shared" si="123"/>
        <v>386838.57266686717</v>
      </c>
      <c r="O266" s="574">
        <f t="shared" si="123"/>
        <v>387535.42013195844</v>
      </c>
      <c r="P266" s="574">
        <f t="shared" si="123"/>
        <v>394503.89478287147</v>
      </c>
      <c r="Q266" s="574">
        <f t="shared" si="123"/>
        <v>397988.13210832799</v>
      </c>
      <c r="R266" s="574">
        <f t="shared" si="123"/>
        <v>393458.62358523451</v>
      </c>
      <c r="S266" s="574">
        <f t="shared" si="123"/>
        <v>404956.60675924103</v>
      </c>
      <c r="T266" s="574">
        <f t="shared" si="123"/>
        <v>407743.99661960616</v>
      </c>
      <c r="U266" s="574">
        <f t="shared" si="123"/>
        <v>414712.47127051919</v>
      </c>
      <c r="V266" s="574">
        <f t="shared" si="123"/>
        <v>422029.3696539778</v>
      </c>
      <c r="W266" s="574">
        <f t="shared" si="123"/>
        <v>429346.26803743653</v>
      </c>
      <c r="X266" s="574">
        <f t="shared" si="123"/>
        <v>436314.74268834939</v>
      </c>
      <c r="Y266" s="574">
        <f t="shared" si="123"/>
        <v>443631.64107180812</v>
      </c>
      <c r="Z266" s="574">
        <f t="shared" si="123"/>
        <v>450600.11572272109</v>
      </c>
      <c r="AA266" s="574">
        <f t="shared" si="123"/>
        <v>457917.0141061797</v>
      </c>
      <c r="AB266" s="574">
        <f t="shared" si="123"/>
        <v>466279.18368727533</v>
      </c>
      <c r="AC266" s="574">
        <f t="shared" si="123"/>
        <v>474989.77700091666</v>
      </c>
      <c r="AD266" s="574">
        <f t="shared" si="123"/>
        <v>505999.48919747944</v>
      </c>
      <c r="AE266" s="574">
        <f t="shared" si="123"/>
        <v>514710.08251112065</v>
      </c>
      <c r="AF266" s="574">
        <f t="shared" si="123"/>
        <v>515058.5062436664</v>
      </c>
      <c r="AG266" s="574">
        <f t="shared" si="123"/>
        <v>524814.37075494439</v>
      </c>
      <c r="AH266" s="574">
        <f>SUM(AH267:AH270)</f>
        <v>534570.23526622262</v>
      </c>
      <c r="AK266" s="110"/>
      <c r="AM266" s="110"/>
      <c r="AO266" s="110"/>
      <c r="AQ266" s="110"/>
    </row>
    <row r="267" spans="1:43" x14ac:dyDescent="0.2">
      <c r="A267" s="30" t="s">
        <v>586</v>
      </c>
      <c r="B267" s="524">
        <f>'Saimnieciskas pamatdarbibas NP'!B100</f>
        <v>219525.55</v>
      </c>
      <c r="C267" s="524">
        <f>'Saimnieciskas pamatdarbibas NP'!C100</f>
        <v>219855.66360902257</v>
      </c>
      <c r="D267" s="524">
        <f>'Saimnieciskas pamatdarbibas NP'!D100</f>
        <v>223471.25843609025</v>
      </c>
      <c r="E267" s="524">
        <f>'Saimnieciskas pamatdarbibas NP'!E100</f>
        <v>227325.07957894736</v>
      </c>
      <c r="F267" s="524">
        <f>'Saimnieciskas pamatdarbibas NP'!F100</f>
        <v>230998.72383888296</v>
      </c>
      <c r="G267" s="524">
        <f>'Saimnieciskas pamatdarbibas NP'!G100</f>
        <v>234694.53773147156</v>
      </c>
      <c r="H267" s="524">
        <f>'Saimnieciskas pamatdarbibas NP'!H100</f>
        <v>237922.16398711066</v>
      </c>
      <c r="I267" s="524">
        <f>'Saimnieciskas pamatdarbibas NP'!I100</f>
        <v>240919.24551020408</v>
      </c>
      <c r="J267" s="524">
        <f>'Saimnieciskas pamatdarbibas NP'!J100</f>
        <v>244146.87176584319</v>
      </c>
      <c r="K267" s="524">
        <f>'Saimnieciskas pamatdarbibas NP'!K100</f>
        <v>247374.49802148229</v>
      </c>
      <c r="L267" s="524">
        <f>'Saimnieciskas pamatdarbibas NP'!L100</f>
        <v>251524.30320730401</v>
      </c>
      <c r="M267" s="524">
        <f>'Saimnieciskas pamatdarbibas NP'!M100</f>
        <v>255443.56366058008</v>
      </c>
      <c r="N267" s="524">
        <f>'Saimnieciskas pamatdarbibas NP'!N100</f>
        <v>255674.1083931257</v>
      </c>
      <c r="O267" s="524">
        <f>'Saimnieciskas pamatdarbibas NP'!O100</f>
        <v>256135.197858217</v>
      </c>
      <c r="P267" s="524">
        <f>'Saimnieciskas pamatdarbibas NP'!P100</f>
        <v>260746.09250912999</v>
      </c>
      <c r="Q267" s="524">
        <f>'Saimnieciskas pamatdarbibas NP'!Q100</f>
        <v>263051.5398345865</v>
      </c>
      <c r="R267" s="524">
        <f>'Saimnieciskas pamatdarbibas NP'!R100</f>
        <v>260054.45831149301</v>
      </c>
      <c r="S267" s="524">
        <f>'Saimnieciskas pamatdarbibas NP'!S100</f>
        <v>267662.43448549951</v>
      </c>
      <c r="T267" s="524">
        <f>'Saimnieciskas pamatdarbibas NP'!T100</f>
        <v>269506.7923458647</v>
      </c>
      <c r="U267" s="524">
        <f>'Saimnieciskas pamatdarbibas NP'!U100</f>
        <v>274117.68699677772</v>
      </c>
      <c r="V267" s="524">
        <f>'Saimnieciskas pamatdarbibas NP'!V100</f>
        <v>278959.12638023635</v>
      </c>
      <c r="W267" s="524">
        <f>'Saimnieciskas pamatdarbibas NP'!W100</f>
        <v>283800.56576369499</v>
      </c>
      <c r="X267" s="524">
        <f>'Saimnieciskas pamatdarbibas NP'!X100</f>
        <v>288411.46041460795</v>
      </c>
      <c r="Y267" s="524">
        <f>'Saimnieciskas pamatdarbibas NP'!Y100</f>
        <v>293252.89979806665</v>
      </c>
      <c r="Z267" s="524">
        <f>'Saimnieciskas pamatdarbibas NP'!Z100</f>
        <v>297863.79444897961</v>
      </c>
      <c r="AA267" s="524">
        <f>'Saimnieciskas pamatdarbibas NP'!AA100</f>
        <v>302705.23383243824</v>
      </c>
      <c r="AB267" s="524">
        <f>'Saimnieciskas pamatdarbibas NP'!AB100</f>
        <v>308238.30741353385</v>
      </c>
      <c r="AC267" s="524">
        <f>'Saimnieciskas pamatdarbibas NP'!AC100</f>
        <v>314001.92572717514</v>
      </c>
      <c r="AD267" s="524">
        <f>'Saimnieciskas pamatdarbibas NP'!AD100</f>
        <v>334520.40692373796</v>
      </c>
      <c r="AE267" s="524">
        <f>'Saimnieciskas pamatdarbibas NP'!AE100</f>
        <v>340284.02523737919</v>
      </c>
      <c r="AF267" s="524">
        <f>'Saimnieciskas pamatdarbibas NP'!AF100</f>
        <v>340514.56996992487</v>
      </c>
      <c r="AG267" s="524">
        <f>'Saimnieciskas pamatdarbibas NP'!AG100</f>
        <v>346969.82248120301</v>
      </c>
      <c r="AH267" s="524">
        <f>'Saimnieciskas pamatdarbibas NP'!AH100</f>
        <v>353425.07499248121</v>
      </c>
      <c r="AK267" s="110"/>
      <c r="AM267" s="110"/>
      <c r="AO267" s="110"/>
      <c r="AQ267" s="110"/>
    </row>
    <row r="268" spans="1:43" x14ac:dyDescent="0.2">
      <c r="A268" s="30" t="s">
        <v>587</v>
      </c>
      <c r="B268" s="524">
        <f>'Saimnieciskas pamatdarbibas NP'!B101</f>
        <v>25359.68</v>
      </c>
      <c r="C268" s="524">
        <f>'Saimnieciskas pamatdarbibas NP'!C101</f>
        <v>25359.68</v>
      </c>
      <c r="D268" s="524">
        <f>'Saimnieciskas pamatdarbibas NP'!D101</f>
        <v>25699.552</v>
      </c>
      <c r="E268" s="524">
        <f>'Saimnieciskas pamatdarbibas NP'!E101</f>
        <v>25987.135999999999</v>
      </c>
      <c r="F268" s="524">
        <f>'Saimnieciskas pamatdarbibas NP'!F101</f>
        <v>26300.864000000001</v>
      </c>
      <c r="G268" s="524">
        <f>'Saimnieciskas pamatdarbibas NP'!G101</f>
        <v>26614.592000000001</v>
      </c>
      <c r="H268" s="524">
        <f>'Saimnieciskas pamatdarbibas NP'!H101</f>
        <v>26980.608</v>
      </c>
      <c r="I268" s="524">
        <f>'Saimnieciskas pamatdarbibas NP'!I101</f>
        <v>27320.48</v>
      </c>
      <c r="J268" s="524">
        <f>'Saimnieciskas pamatdarbibas NP'!J101</f>
        <v>27686.495999999999</v>
      </c>
      <c r="K268" s="524">
        <f>'Saimnieciskas pamatdarbibas NP'!K101</f>
        <v>28052.511999999999</v>
      </c>
      <c r="L268" s="524">
        <f>'Saimnieciskas pamatdarbibas NP'!L101</f>
        <v>28523.103999999999</v>
      </c>
      <c r="M268" s="524">
        <f>'Saimnieciskas pamatdarbibas NP'!M101</f>
        <v>28967.552000000003</v>
      </c>
      <c r="N268" s="524">
        <f>'Saimnieciskas pamatdarbibas NP'!N101</f>
        <v>28993.696</v>
      </c>
      <c r="O268" s="524">
        <f>'Saimnieciskas pamatdarbibas NP'!O101</f>
        <v>29045.984</v>
      </c>
      <c r="P268" s="524">
        <f>'Saimnieciskas pamatdarbibas NP'!P101</f>
        <v>29568.864000000001</v>
      </c>
      <c r="Q268" s="524">
        <f>'Saimnieciskas pamatdarbibas NP'!Q101</f>
        <v>29830.304</v>
      </c>
      <c r="R268" s="524">
        <f>'Saimnieciskas pamatdarbibas NP'!R101</f>
        <v>29490.431999999997</v>
      </c>
      <c r="S268" s="524">
        <f>'Saimnieciskas pamatdarbibas NP'!S101</f>
        <v>30353.184000000001</v>
      </c>
      <c r="T268" s="524">
        <f>'Saimnieciskas pamatdarbibas NP'!T101</f>
        <v>30562.335999999999</v>
      </c>
      <c r="U268" s="524">
        <f>'Saimnieciskas pamatdarbibas NP'!U101</f>
        <v>31085.216</v>
      </c>
      <c r="V268" s="524">
        <f>'Saimnieciskas pamatdarbibas NP'!V101</f>
        <v>31634.239999999998</v>
      </c>
      <c r="W268" s="524">
        <f>'Saimnieciskas pamatdarbibas NP'!W101</f>
        <v>32183.264000000003</v>
      </c>
      <c r="X268" s="524">
        <f>'Saimnieciskas pamatdarbibas NP'!X101</f>
        <v>32706.143999999997</v>
      </c>
      <c r="Y268" s="524">
        <f>'Saimnieciskas pamatdarbibas NP'!Y101</f>
        <v>33255.167999999998</v>
      </c>
      <c r="Z268" s="524">
        <f>'Saimnieciskas pamatdarbibas NP'!Z101</f>
        <v>33778.048000000003</v>
      </c>
      <c r="AA268" s="524">
        <f>'Saimnieciskas pamatdarbibas NP'!AA101</f>
        <v>34327.072</v>
      </c>
      <c r="AB268" s="524">
        <f>'Saimnieciskas pamatdarbibas NP'!AB101</f>
        <v>34954.527999999998</v>
      </c>
      <c r="AC268" s="524">
        <f>'Saimnieciskas pamatdarbibas NP'!AC101</f>
        <v>35608.128000000004</v>
      </c>
      <c r="AD268" s="524">
        <f>'Saimnieciskas pamatdarbibas NP'!AD101</f>
        <v>37934.944000000003</v>
      </c>
      <c r="AE268" s="524">
        <f>'Saimnieciskas pamatdarbibas NP'!AE101</f>
        <v>38588.544000000002</v>
      </c>
      <c r="AF268" s="524">
        <f>'Saimnieciskas pamatdarbibas NP'!AF101</f>
        <v>38614.688000000002</v>
      </c>
      <c r="AG268" s="524">
        <f>'Saimnieciskas pamatdarbibas NP'!AG101</f>
        <v>39346.719999999994</v>
      </c>
      <c r="AH268" s="524">
        <f>'Saimnieciskas pamatdarbibas NP'!AH101</f>
        <v>40078.752</v>
      </c>
      <c r="AK268" s="110"/>
      <c r="AM268" s="110"/>
      <c r="AO268" s="110"/>
      <c r="AQ268" s="110"/>
    </row>
    <row r="269" spans="1:43" x14ac:dyDescent="0.2">
      <c r="A269" s="30" t="s">
        <v>588</v>
      </c>
      <c r="B269" s="524">
        <f>'Saimnieciskas pamatdarbibas NP'!B102</f>
        <v>88982.95</v>
      </c>
      <c r="C269" s="524">
        <f>'Saimnieciskas pamatdarbibas NP'!C102</f>
        <v>88982.95</v>
      </c>
      <c r="D269" s="524">
        <f>'Saimnieciskas pamatdarbibas NP'!D102</f>
        <v>90175.505000000005</v>
      </c>
      <c r="E269" s="524">
        <f>'Saimnieciskas pamatdarbibas NP'!E102</f>
        <v>91184.59</v>
      </c>
      <c r="F269" s="524">
        <f>'Saimnieciskas pamatdarbibas NP'!F102</f>
        <v>92285.41</v>
      </c>
      <c r="G269" s="524">
        <f>'Saimnieciskas pamatdarbibas NP'!G102</f>
        <v>93386.23</v>
      </c>
      <c r="H269" s="524">
        <f>'Saimnieciskas pamatdarbibas NP'!H102</f>
        <v>94670.52</v>
      </c>
      <c r="I269" s="524">
        <f>'Saimnieciskas pamatdarbibas NP'!I102</f>
        <v>95863.074999999997</v>
      </c>
      <c r="J269" s="524">
        <f>'Saimnieciskas pamatdarbibas NP'!J102</f>
        <v>97147.364999999991</v>
      </c>
      <c r="K269" s="524">
        <f>'Saimnieciskas pamatdarbibas NP'!K102</f>
        <v>98431.654999999999</v>
      </c>
      <c r="L269" s="524">
        <f>'Saimnieciskas pamatdarbibas NP'!L102</f>
        <v>100082.88499999999</v>
      </c>
      <c r="M269" s="524">
        <f>'Saimnieciskas pamatdarbibas NP'!M102</f>
        <v>101642.38</v>
      </c>
      <c r="N269" s="524">
        <f>'Saimnieciskas pamatdarbibas NP'!N102</f>
        <v>101734.11500000001</v>
      </c>
      <c r="O269" s="524">
        <f>'Saimnieciskas pamatdarbibas NP'!O102</f>
        <v>101917.58499999999</v>
      </c>
      <c r="P269" s="524">
        <f>'Saimnieciskas pamatdarbibas NP'!P102</f>
        <v>103752.285</v>
      </c>
      <c r="Q269" s="524">
        <f>'Saimnieciskas pamatdarbibas NP'!Q102</f>
        <v>104669.63499999999</v>
      </c>
      <c r="R269" s="524">
        <f>'Saimnieciskas pamatdarbibas NP'!R102</f>
        <v>103477.07999999999</v>
      </c>
      <c r="S269" s="524">
        <f>'Saimnieciskas pamatdarbibas NP'!S102</f>
        <v>106504.33500000001</v>
      </c>
      <c r="T269" s="524">
        <f>'Saimnieciskas pamatdarbibas NP'!T102</f>
        <v>107238.215</v>
      </c>
      <c r="U269" s="524">
        <f>'Saimnieciskas pamatdarbibas NP'!U102</f>
        <v>109072.91500000001</v>
      </c>
      <c r="V269" s="524">
        <f>'Saimnieciskas pamatdarbibas NP'!V102</f>
        <v>110999.34999999999</v>
      </c>
      <c r="W269" s="524">
        <f>'Saimnieciskas pamatdarbibas NP'!W102</f>
        <v>112925.785</v>
      </c>
      <c r="X269" s="524">
        <f>'Saimnieciskas pamatdarbibas NP'!X102</f>
        <v>114760.48499999999</v>
      </c>
      <c r="Y269" s="524">
        <f>'Saimnieciskas pamatdarbibas NP'!Y102</f>
        <v>116686.92</v>
      </c>
      <c r="Z269" s="524">
        <f>'Saimnieciskas pamatdarbibas NP'!Z102</f>
        <v>118521.62000000001</v>
      </c>
      <c r="AA269" s="524">
        <f>'Saimnieciskas pamatdarbibas NP'!AA102</f>
        <v>120448.05499999999</v>
      </c>
      <c r="AB269" s="524">
        <f>'Saimnieciskas pamatdarbibas NP'!AB102</f>
        <v>122649.69499999999</v>
      </c>
      <c r="AC269" s="524">
        <f>'Saimnieciskas pamatdarbibas NP'!AC102</f>
        <v>124943.07</v>
      </c>
      <c r="AD269" s="524">
        <f>'Saimnieciskas pamatdarbibas NP'!AD102</f>
        <v>133107.48500000002</v>
      </c>
      <c r="AE269" s="524">
        <f>'Saimnieciskas pamatdarbibas NP'!AE102</f>
        <v>135400.85999999999</v>
      </c>
      <c r="AF269" s="524">
        <f>'Saimnieciskas pamatdarbibas NP'!AF102</f>
        <v>135492.595</v>
      </c>
      <c r="AG269" s="524">
        <f>'Saimnieciskas pamatdarbibas NP'!AG102</f>
        <v>138061.17499999999</v>
      </c>
      <c r="AH269" s="524">
        <f>'Saimnieciskas pamatdarbibas NP'!AH102</f>
        <v>140629.755</v>
      </c>
      <c r="AK269" s="110"/>
      <c r="AM269" s="110"/>
      <c r="AO269" s="110"/>
      <c r="AQ269" s="110"/>
    </row>
    <row r="270" spans="1:43" x14ac:dyDescent="0.2">
      <c r="A270" s="30" t="s">
        <v>589</v>
      </c>
      <c r="B270" s="524">
        <f t="shared" ref="B270:AH270" si="124">SUM(B37,B43,B49)*$B$170</f>
        <v>0</v>
      </c>
      <c r="C270" s="524">
        <f t="shared" si="124"/>
        <v>0</v>
      </c>
      <c r="D270" s="524">
        <f t="shared" si="124"/>
        <v>611.75376342647007</v>
      </c>
      <c r="E270" s="524">
        <f t="shared" si="124"/>
        <v>611.75376342647007</v>
      </c>
      <c r="F270" s="524">
        <f t="shared" si="124"/>
        <v>611.75376342647007</v>
      </c>
      <c r="G270" s="524">
        <f t="shared" si="124"/>
        <v>611.75376342647007</v>
      </c>
      <c r="H270" s="524">
        <f t="shared" si="124"/>
        <v>611.75376342647007</v>
      </c>
      <c r="I270" s="524">
        <f t="shared" si="124"/>
        <v>611.75376342647007</v>
      </c>
      <c r="J270" s="524">
        <f t="shared" si="124"/>
        <v>611.75376342647007</v>
      </c>
      <c r="K270" s="524">
        <f t="shared" si="124"/>
        <v>611.75376342647007</v>
      </c>
      <c r="L270" s="524">
        <f t="shared" si="124"/>
        <v>611.75376342647007</v>
      </c>
      <c r="M270" s="524">
        <f t="shared" si="124"/>
        <v>611.75376342647007</v>
      </c>
      <c r="N270" s="524">
        <f t="shared" si="124"/>
        <v>436.65327374147012</v>
      </c>
      <c r="O270" s="524">
        <f t="shared" si="124"/>
        <v>436.65327374147012</v>
      </c>
      <c r="P270" s="524">
        <f t="shared" si="124"/>
        <v>436.65327374147012</v>
      </c>
      <c r="Q270" s="524">
        <f t="shared" si="124"/>
        <v>436.65327374147012</v>
      </c>
      <c r="R270" s="524">
        <f t="shared" si="124"/>
        <v>436.65327374147012</v>
      </c>
      <c r="S270" s="524">
        <f t="shared" si="124"/>
        <v>436.65327374147012</v>
      </c>
      <c r="T270" s="524">
        <f t="shared" si="124"/>
        <v>436.65327374147012</v>
      </c>
      <c r="U270" s="524">
        <f t="shared" si="124"/>
        <v>436.65327374147012</v>
      </c>
      <c r="V270" s="524">
        <f t="shared" si="124"/>
        <v>436.65327374147012</v>
      </c>
      <c r="W270" s="524">
        <f t="shared" si="124"/>
        <v>436.65327374147012</v>
      </c>
      <c r="X270" s="524">
        <f t="shared" si="124"/>
        <v>436.65327374147012</v>
      </c>
      <c r="Y270" s="524">
        <f t="shared" si="124"/>
        <v>436.65327374147012</v>
      </c>
      <c r="Z270" s="524">
        <f t="shared" si="124"/>
        <v>436.65327374147012</v>
      </c>
      <c r="AA270" s="524">
        <f t="shared" si="124"/>
        <v>436.65327374147012</v>
      </c>
      <c r="AB270" s="524">
        <f t="shared" si="124"/>
        <v>436.65327374147012</v>
      </c>
      <c r="AC270" s="524">
        <f t="shared" si="124"/>
        <v>436.65327374147012</v>
      </c>
      <c r="AD270" s="524">
        <f t="shared" si="124"/>
        <v>436.65327374147012</v>
      </c>
      <c r="AE270" s="524">
        <f t="shared" si="124"/>
        <v>436.65327374147012</v>
      </c>
      <c r="AF270" s="524">
        <f t="shared" si="124"/>
        <v>436.65327374147012</v>
      </c>
      <c r="AG270" s="524">
        <f t="shared" si="124"/>
        <v>436.65327374147012</v>
      </c>
      <c r="AH270" s="524">
        <f t="shared" si="124"/>
        <v>436.65327374147012</v>
      </c>
      <c r="AK270" s="110"/>
      <c r="AM270" s="110"/>
      <c r="AO270" s="110"/>
      <c r="AQ270" s="110"/>
    </row>
    <row r="271" spans="1:43" x14ac:dyDescent="0.2">
      <c r="A271" s="60" t="s">
        <v>295</v>
      </c>
      <c r="B271" s="574">
        <f>SUM(B272:B275)</f>
        <v>490338</v>
      </c>
      <c r="C271" s="574">
        <f t="shared" ref="C271:AG271" si="125">SUM(C272:C275)</f>
        <v>492893.10232380225</v>
      </c>
      <c r="D271" s="574">
        <f t="shared" si="125"/>
        <v>576239.87569666246</v>
      </c>
      <c r="E271" s="574">
        <f t="shared" si="125"/>
        <v>623176.0864263504</v>
      </c>
      <c r="F271" s="574">
        <f t="shared" si="125"/>
        <v>631814.70729294699</v>
      </c>
      <c r="G271" s="574">
        <f t="shared" si="125"/>
        <v>640471.36674517975</v>
      </c>
      <c r="H271" s="574">
        <f t="shared" si="125"/>
        <v>647755.26655717182</v>
      </c>
      <c r="I271" s="574">
        <f t="shared" si="125"/>
        <v>655386.01874116343</v>
      </c>
      <c r="J271" s="574">
        <f t="shared" si="125"/>
        <v>666485.29464515124</v>
      </c>
      <c r="K271" s="574">
        <f t="shared" si="125"/>
        <v>674116.04682914272</v>
      </c>
      <c r="L271" s="574">
        <f t="shared" si="125"/>
        <v>683827.91324513196</v>
      </c>
      <c r="M271" s="574">
        <f t="shared" si="125"/>
        <v>693539.7796611212</v>
      </c>
      <c r="N271" s="574">
        <f t="shared" si="125"/>
        <v>702557.94133311126</v>
      </c>
      <c r="O271" s="574">
        <f t="shared" si="125"/>
        <v>690968.60448853672</v>
      </c>
      <c r="P271" s="574">
        <f t="shared" si="125"/>
        <v>702067.88039252453</v>
      </c>
      <c r="Q271" s="574">
        <f t="shared" si="125"/>
        <v>715941.97527250927</v>
      </c>
      <c r="R271" s="574">
        <f t="shared" si="125"/>
        <v>694090.27583653328</v>
      </c>
      <c r="S271" s="574">
        <f t="shared" si="125"/>
        <v>687153.22839654097</v>
      </c>
      <c r="T271" s="574">
        <f t="shared" si="125"/>
        <v>699293.06141652761</v>
      </c>
      <c r="U271" s="574">
        <f t="shared" si="125"/>
        <v>711779.74680851377</v>
      </c>
      <c r="V271" s="574">
        <f t="shared" si="125"/>
        <v>731897.18438449153</v>
      </c>
      <c r="W271" s="574">
        <f t="shared" si="125"/>
        <v>744383.86977647792</v>
      </c>
      <c r="X271" s="574">
        <f t="shared" si="125"/>
        <v>759645.37414446101</v>
      </c>
      <c r="Y271" s="574">
        <f t="shared" si="125"/>
        <v>772132.05953644728</v>
      </c>
      <c r="Z271" s="574">
        <f t="shared" si="125"/>
        <v>784618.74492843356</v>
      </c>
      <c r="AA271" s="574">
        <f t="shared" si="125"/>
        <v>797105.43032041972</v>
      </c>
      <c r="AB271" s="574">
        <f t="shared" si="125"/>
        <v>812020.08231640339</v>
      </c>
      <c r="AC271" s="574">
        <f t="shared" si="125"/>
        <v>863007.38100034709</v>
      </c>
      <c r="AD271" s="574">
        <f t="shared" si="125"/>
        <v>952148.44060424878</v>
      </c>
      <c r="AE271" s="574">
        <f t="shared" si="125"/>
        <v>968797.35446023045</v>
      </c>
      <c r="AF271" s="574">
        <f t="shared" si="125"/>
        <v>988221.08729220892</v>
      </c>
      <c r="AG271" s="574">
        <f t="shared" si="125"/>
        <v>1007297.9677521879</v>
      </c>
      <c r="AH271" s="574">
        <f>SUM(AH272:AH275)</f>
        <v>1026374.8482121668</v>
      </c>
      <c r="AK271" s="110"/>
      <c r="AM271" s="110"/>
      <c r="AO271" s="110"/>
      <c r="AQ271" s="110"/>
    </row>
    <row r="272" spans="1:43" x14ac:dyDescent="0.2">
      <c r="A272" s="30" t="s">
        <v>586</v>
      </c>
      <c r="B272" s="524">
        <f>'Saimnieciskas pamatdarbibas NP'!B105</f>
        <v>342547.5</v>
      </c>
      <c r="C272" s="524">
        <f>'Saimnieciskas pamatdarbibas NP'!C105</f>
        <v>345102.60232380225</v>
      </c>
      <c r="D272" s="524">
        <f>'Saimnieciskas pamatdarbibas NP'!D105</f>
        <v>404802.89569666248</v>
      </c>
      <c r="E272" s="524">
        <f>'Saimnieciskas pamatdarbibas NP'!E105</f>
        <v>424826.42458448885</v>
      </c>
      <c r="F272" s="524">
        <f>'Saimnieciskas pamatdarbibas NP'!F105</f>
        <v>433662.09945108544</v>
      </c>
      <c r="G272" s="524">
        <f>'Saimnieciskas pamatdarbibas NP'!G105</f>
        <v>442515.81290331826</v>
      </c>
      <c r="H272" s="524">
        <f>'Saimnieciskas pamatdarbibas NP'!H105</f>
        <v>447730.6457153103</v>
      </c>
      <c r="I272" s="524">
        <f>'Saimnieciskas pamatdarbibas NP'!I105</f>
        <v>453193.80389930191</v>
      </c>
      <c r="J272" s="524">
        <f>'Saimnieciskas pamatdarbibas NP'!J105</f>
        <v>461140.21580328967</v>
      </c>
      <c r="K272" s="524">
        <f>'Saimnieciskas pamatdarbibas NP'!K105</f>
        <v>466603.37398728123</v>
      </c>
      <c r="L272" s="524">
        <f>'Saimnieciskas pamatdarbibas NP'!L105</f>
        <v>473556.48440327053</v>
      </c>
      <c r="M272" s="524">
        <f>'Saimnieciskas pamatdarbibas NP'!M105</f>
        <v>480509.59481925977</v>
      </c>
      <c r="N272" s="524">
        <f>'Saimnieciskas pamatdarbibas NP'!N105</f>
        <v>486966.05449124979</v>
      </c>
      <c r="O272" s="524">
        <f>'Saimnieciskas pamatdarbibas NP'!O105</f>
        <v>482744.52316725627</v>
      </c>
      <c r="P272" s="524">
        <f>'Saimnieciskas pamatdarbibas NP'!P105</f>
        <v>490690.93507124402</v>
      </c>
      <c r="Q272" s="524">
        <f>'Saimnieciskas pamatdarbibas NP'!Q105</f>
        <v>500623.9499512288</v>
      </c>
      <c r="R272" s="524">
        <f>'Saimnieciskas pamatdarbibas NP'!R105</f>
        <v>484979.45151525293</v>
      </c>
      <c r="S272" s="524">
        <f>'Saimnieciskas pamatdarbibas NP'!S105</f>
        <v>480012.94407526054</v>
      </c>
      <c r="T272" s="524">
        <f>'Saimnieciskas pamatdarbibas NP'!T105</f>
        <v>488704.33209524717</v>
      </c>
      <c r="U272" s="524">
        <f>'Saimnieciskas pamatdarbibas NP'!U105</f>
        <v>497644.04548723338</v>
      </c>
      <c r="V272" s="524">
        <f>'Saimnieciskas pamatdarbibas NP'!V105</f>
        <v>512046.91706321115</v>
      </c>
      <c r="W272" s="524">
        <f>'Saimnieciskas pamatdarbibas NP'!W105</f>
        <v>520986.63045519742</v>
      </c>
      <c r="X272" s="524">
        <f>'Saimnieciskas pamatdarbibas NP'!X105</f>
        <v>531912.94682318054</v>
      </c>
      <c r="Y272" s="524">
        <f>'Saimnieciskas pamatdarbibas NP'!Y105</f>
        <v>540852.66021516686</v>
      </c>
      <c r="Z272" s="524">
        <f>'Saimnieciskas pamatdarbibas NP'!Z105</f>
        <v>549792.37360715307</v>
      </c>
      <c r="AA272" s="524">
        <f>'Saimnieciskas pamatdarbibas NP'!AA105</f>
        <v>558732.08699913928</v>
      </c>
      <c r="AB272" s="524">
        <f>'Saimnieciskas pamatdarbibas NP'!AB105</f>
        <v>569410.07799512288</v>
      </c>
      <c r="AC272" s="524">
        <f>'Saimnieciskas pamatdarbibas NP'!AC105</f>
        <v>605913.90767906664</v>
      </c>
      <c r="AD272" s="524">
        <f>'Saimnieciskas pamatdarbibas NP'!AD105</f>
        <v>669733.52828296833</v>
      </c>
      <c r="AE272" s="524">
        <f>'Saimnieciskas pamatdarbibas NP'!AE105</f>
        <v>681653.14613895002</v>
      </c>
      <c r="AF272" s="524">
        <f>'Saimnieciskas pamatdarbibas NP'!AF105</f>
        <v>695559.3669709285</v>
      </c>
      <c r="AG272" s="524">
        <f>'Saimnieciskas pamatdarbibas NP'!AG105</f>
        <v>709217.26243090746</v>
      </c>
      <c r="AH272" s="524">
        <f>'Saimnieciskas pamatdarbibas NP'!AH105</f>
        <v>722875.15789088642</v>
      </c>
      <c r="AK272" s="110"/>
      <c r="AM272" s="110"/>
      <c r="AO272" s="110"/>
      <c r="AQ272" s="110"/>
    </row>
    <row r="273" spans="1:43" x14ac:dyDescent="0.2">
      <c r="A273" s="30" t="s">
        <v>587</v>
      </c>
      <c r="B273" s="524">
        <f>'Saimnieciskas pamatdarbibas NP'!B106</f>
        <v>37776</v>
      </c>
      <c r="C273" s="524">
        <f>'Saimnieciskas pamatdarbibas NP'!C106</f>
        <v>37776</v>
      </c>
      <c r="D273" s="524">
        <f>'Saimnieciskas pamatdarbibas NP'!D106</f>
        <v>43820.159999999996</v>
      </c>
      <c r="E273" s="524">
        <f>'Saimnieciskas pamatdarbibas NP'!E106</f>
        <v>44978.624000000003</v>
      </c>
      <c r="F273" s="524">
        <f>'Saimnieciskas pamatdarbibas NP'!F106</f>
        <v>44928.256000000008</v>
      </c>
      <c r="G273" s="524">
        <f>'Saimnieciskas pamatdarbibas NP'!G106</f>
        <v>44877.887999999992</v>
      </c>
      <c r="H273" s="524">
        <f>'Saimnieciskas pamatdarbibas NP'!H106</f>
        <v>45406.752</v>
      </c>
      <c r="I273" s="524">
        <f>'Saimnieciskas pamatdarbibas NP'!I106</f>
        <v>45960.800000000003</v>
      </c>
      <c r="J273" s="524">
        <f>'Saimnieciskas pamatdarbibas NP'!J106</f>
        <v>46766.688000000002</v>
      </c>
      <c r="K273" s="524">
        <f>'Saimnieciskas pamatdarbibas NP'!K106</f>
        <v>47320.735999999997</v>
      </c>
      <c r="L273" s="524">
        <f>'Saimnieciskas pamatdarbibas NP'!L106</f>
        <v>48025.887999999999</v>
      </c>
      <c r="M273" s="524">
        <f>'Saimnieciskas pamatdarbibas NP'!M106</f>
        <v>48731.039999999994</v>
      </c>
      <c r="N273" s="524">
        <f>'Saimnieciskas pamatdarbibas NP'!N106</f>
        <v>49385.823999999993</v>
      </c>
      <c r="O273" s="524">
        <f>'Saimnieciskas pamatdarbibas NP'!O106</f>
        <v>48957.695999999996</v>
      </c>
      <c r="P273" s="524">
        <f>'Saimnieciskas pamatdarbibas NP'!P106</f>
        <v>49763.583999999995</v>
      </c>
      <c r="Q273" s="524">
        <f>'Saimnieciskas pamatdarbibas NP'!Q106</f>
        <v>50770.944000000003</v>
      </c>
      <c r="R273" s="524">
        <f>'Saimnieciskas pamatdarbibas NP'!R106</f>
        <v>49184.351999999999</v>
      </c>
      <c r="S273" s="524">
        <f>'Saimnieciskas pamatdarbibas NP'!S106</f>
        <v>48680.671999999999</v>
      </c>
      <c r="T273" s="524">
        <f>'Saimnieciskas pamatdarbibas NP'!T106</f>
        <v>49562.112000000001</v>
      </c>
      <c r="U273" s="524">
        <f>'Saimnieciskas pamatdarbibas NP'!U106</f>
        <v>50468.735999999997</v>
      </c>
      <c r="V273" s="524">
        <f>'Saimnieciskas pamatdarbibas NP'!V106</f>
        <v>51929.407999999996</v>
      </c>
      <c r="W273" s="524">
        <f>'Saimnieciskas pamatdarbibas NP'!W106</f>
        <v>52836.031999999999</v>
      </c>
      <c r="X273" s="524">
        <f>'Saimnieciskas pamatdarbibas NP'!X106</f>
        <v>53944.127999999997</v>
      </c>
      <c r="Y273" s="524">
        <f>'Saimnieciskas pamatdarbibas NP'!Y106</f>
        <v>54850.752</v>
      </c>
      <c r="Z273" s="524">
        <f>'Saimnieciskas pamatdarbibas NP'!Z106</f>
        <v>55757.375999999997</v>
      </c>
      <c r="AA273" s="524">
        <f>'Saimnieciskas pamatdarbibas NP'!AA106</f>
        <v>56664</v>
      </c>
      <c r="AB273" s="524">
        <f>'Saimnieciskas pamatdarbibas NP'!AB106</f>
        <v>57746.912000000004</v>
      </c>
      <c r="AC273" s="524">
        <f>'Saimnieciskas pamatdarbibas NP'!AC106</f>
        <v>61448.959999999999</v>
      </c>
      <c r="AD273" s="524">
        <f>'Saimnieciskas pamatdarbibas NP'!AD106</f>
        <v>67921.248000000007</v>
      </c>
      <c r="AE273" s="524">
        <f>'Saimnieciskas pamatdarbibas NP'!AE106</f>
        <v>69130.080000000002</v>
      </c>
      <c r="AF273" s="524">
        <f>'Saimnieciskas pamatdarbibas NP'!AF106</f>
        <v>70540.384000000005</v>
      </c>
      <c r="AG273" s="524">
        <f>'Saimnieciskas pamatdarbibas NP'!AG106</f>
        <v>71925.504000000001</v>
      </c>
      <c r="AH273" s="524">
        <f>'Saimnieciskas pamatdarbibas NP'!AH106</f>
        <v>73310.623999999996</v>
      </c>
      <c r="AK273" s="110"/>
      <c r="AM273" s="110"/>
      <c r="AO273" s="110"/>
      <c r="AQ273" s="110"/>
    </row>
    <row r="274" spans="1:43" x14ac:dyDescent="0.2">
      <c r="A274" s="30" t="s">
        <v>588</v>
      </c>
      <c r="B274" s="524">
        <f>'Saimnieciskas pamatdarbibas NP'!B107</f>
        <v>110014.5</v>
      </c>
      <c r="C274" s="524">
        <f>'Saimnieciskas pamatdarbibas NP'!C107</f>
        <v>110014.5</v>
      </c>
      <c r="D274" s="524">
        <f>'Saimnieciskas pamatdarbibas NP'!D107</f>
        <v>127616.81999999999</v>
      </c>
      <c r="E274" s="524">
        <f>'Saimnieciskas pamatdarbibas NP'!E107</f>
        <v>130990.598</v>
      </c>
      <c r="F274" s="524">
        <f>'Saimnieciskas pamatdarbibas NP'!F107</f>
        <v>130843.91200000003</v>
      </c>
      <c r="G274" s="524">
        <f>'Saimnieciskas pamatdarbibas NP'!G107</f>
        <v>130697.22599999998</v>
      </c>
      <c r="H274" s="524">
        <f>'Saimnieciskas pamatdarbibas NP'!H107</f>
        <v>132237.429</v>
      </c>
      <c r="I274" s="524">
        <f>'Saimnieciskas pamatdarbibas NP'!I107</f>
        <v>133850.97500000001</v>
      </c>
      <c r="J274" s="524">
        <f>'Saimnieciskas pamatdarbibas NP'!J107</f>
        <v>136197.951</v>
      </c>
      <c r="K274" s="524">
        <f>'Saimnieciskas pamatdarbibas NP'!K107</f>
        <v>137811.497</v>
      </c>
      <c r="L274" s="524">
        <f>'Saimnieciskas pamatdarbibas NP'!L107</f>
        <v>139865.101</v>
      </c>
      <c r="M274" s="524">
        <f>'Saimnieciskas pamatdarbibas NP'!M107</f>
        <v>141918.70499999999</v>
      </c>
      <c r="N274" s="524">
        <f>'Saimnieciskas pamatdarbibas NP'!N107</f>
        <v>143825.62299999999</v>
      </c>
      <c r="O274" s="524">
        <f>'Saimnieciskas pamatdarbibas NP'!O107</f>
        <v>142578.79199999999</v>
      </c>
      <c r="P274" s="524">
        <f>'Saimnieciskas pamatdarbibas NP'!P107</f>
        <v>144925.76799999998</v>
      </c>
      <c r="Q274" s="524">
        <f>'Saimnieciskas pamatdarbibas NP'!Q107</f>
        <v>147859.48800000001</v>
      </c>
      <c r="R274" s="524">
        <f>'Saimnieciskas pamatdarbibas NP'!R107</f>
        <v>143238.87900000002</v>
      </c>
      <c r="S274" s="524">
        <f>'Saimnieciskas pamatdarbibas NP'!S107</f>
        <v>141772.019</v>
      </c>
      <c r="T274" s="524">
        <f>'Saimnieciskas pamatdarbibas NP'!T107</f>
        <v>144339.024</v>
      </c>
      <c r="U274" s="524">
        <f>'Saimnieciskas pamatdarbibas NP'!U107</f>
        <v>146979.372</v>
      </c>
      <c r="V274" s="524">
        <f>'Saimnieciskas pamatdarbibas NP'!V107</f>
        <v>151233.26599999997</v>
      </c>
      <c r="W274" s="524">
        <f>'Saimnieciskas pamatdarbibas NP'!W107</f>
        <v>153873.614</v>
      </c>
      <c r="X274" s="524">
        <f>'Saimnieciskas pamatdarbibas NP'!X107</f>
        <v>157100.70600000001</v>
      </c>
      <c r="Y274" s="524">
        <f>'Saimnieciskas pamatdarbibas NP'!Y107</f>
        <v>159741.054</v>
      </c>
      <c r="Z274" s="524">
        <f>'Saimnieciskas pamatdarbibas NP'!Z107</f>
        <v>162381.402</v>
      </c>
      <c r="AA274" s="524">
        <f>'Saimnieciskas pamatdarbibas NP'!AA107</f>
        <v>165021.75</v>
      </c>
      <c r="AB274" s="524">
        <f>'Saimnieciskas pamatdarbibas NP'!AB107</f>
        <v>168175.49900000001</v>
      </c>
      <c r="AC274" s="524">
        <f>'Saimnieciskas pamatdarbibas NP'!AC107</f>
        <v>178956.91999999998</v>
      </c>
      <c r="AD274" s="524">
        <f>'Saimnieciskas pamatdarbibas NP'!AD107</f>
        <v>197806.071</v>
      </c>
      <c r="AE274" s="524">
        <f>'Saimnieciskas pamatdarbibas NP'!AE107</f>
        <v>201326.535</v>
      </c>
      <c r="AF274" s="524">
        <f>'Saimnieciskas pamatdarbibas NP'!AF107</f>
        <v>205433.74300000002</v>
      </c>
      <c r="AG274" s="524">
        <f>'Saimnieciskas pamatdarbibas NP'!AG107</f>
        <v>209467.60799999998</v>
      </c>
      <c r="AH274" s="524">
        <f>'Saimnieciskas pamatdarbibas NP'!AH107</f>
        <v>213501.473</v>
      </c>
      <c r="AK274" s="110"/>
      <c r="AM274" s="110"/>
      <c r="AO274" s="110"/>
      <c r="AQ274" s="110"/>
    </row>
    <row r="275" spans="1:43" x14ac:dyDescent="0.2">
      <c r="A275" s="30" t="s">
        <v>590</v>
      </c>
      <c r="B275" s="524">
        <f>SUM(Aprēķini!B58,Aprēķini!B64,Aprēķini!B70)*Aprēķini!$B$170</f>
        <v>0</v>
      </c>
      <c r="C275" s="524">
        <f>SUM(Aprēķini!C58,Aprēķini!C64,Aprēķini!C70)*Aprēķini!$B$170</f>
        <v>0</v>
      </c>
      <c r="D275" s="524">
        <f>SUM(Aprēķini!D58,Aprēķini!D64,Aprēķini!D70)*Aprēķini!$B$170</f>
        <v>0</v>
      </c>
      <c r="E275" s="524">
        <f>SUM(Aprēķini!E58,Aprēķini!E64,Aprēķini!E70)*Aprēķini!$B$170</f>
        <v>22380.439841861535</v>
      </c>
      <c r="F275" s="524">
        <f>SUM(Aprēķini!F58,Aprēķini!F64,Aprēķini!F70)*Aprēķini!$B$170</f>
        <v>22380.439841861535</v>
      </c>
      <c r="G275" s="524">
        <f>SUM(Aprēķini!G58,Aprēķini!G64,Aprēķini!G70)*Aprēķini!$B$170</f>
        <v>22380.439841861535</v>
      </c>
      <c r="H275" s="524">
        <f>SUM(Aprēķini!H58,Aprēķini!H64,Aprēķini!H70)*Aprēķini!$B$170</f>
        <v>22380.439841861535</v>
      </c>
      <c r="I275" s="524">
        <f>SUM(Aprēķini!I58,Aprēķini!I64,Aprēķini!I70)*Aprēķini!$B$170</f>
        <v>22380.439841861535</v>
      </c>
      <c r="J275" s="524">
        <f>SUM(Aprēķini!J58,Aprēķini!J64,Aprēķini!J70)*Aprēķini!$B$170</f>
        <v>22380.439841861535</v>
      </c>
      <c r="K275" s="524">
        <f>SUM(Aprēķini!K58,Aprēķini!K64,Aprēķini!K70)*Aprēķini!$B$170</f>
        <v>22380.439841861535</v>
      </c>
      <c r="L275" s="524">
        <f>SUM(Aprēķini!L58,Aprēķini!L64,Aprēķini!L70)*Aprēķini!$B$170</f>
        <v>22380.439841861535</v>
      </c>
      <c r="M275" s="524">
        <f>SUM(Aprēķini!M58,Aprēķini!M64,Aprēķini!M70)*Aprēķini!$B$170</f>
        <v>22380.439841861535</v>
      </c>
      <c r="N275" s="524">
        <f>SUM(Aprēķini!N58,Aprēķini!N64,Aprēķini!N70)*Aprēķini!$B$170</f>
        <v>22380.439841861535</v>
      </c>
      <c r="O275" s="524">
        <f>SUM(Aprēķini!O58,Aprēķini!O64,Aprēķini!O70)*Aprēķini!$B$170</f>
        <v>16687.593321280427</v>
      </c>
      <c r="P275" s="524">
        <f>SUM(Aprēķini!P58,Aprēķini!P64,Aprēķini!P70)*Aprēķini!$B$170</f>
        <v>16687.593321280427</v>
      </c>
      <c r="Q275" s="524">
        <f>SUM(Aprēķini!Q58,Aprēķini!Q64,Aprēķini!Q70)*Aprēķini!$B$170</f>
        <v>16687.593321280427</v>
      </c>
      <c r="R275" s="524">
        <f>SUM(Aprēķini!R58,Aprēķini!R64,Aprēķini!R70)*Aprēķini!$B$170</f>
        <v>16687.593321280427</v>
      </c>
      <c r="S275" s="524">
        <f>SUM(Aprēķini!S58,Aprēķini!S64,Aprēķini!S70)*Aprēķini!$B$170</f>
        <v>16687.593321280427</v>
      </c>
      <c r="T275" s="524">
        <f>SUM(Aprēķini!T58,Aprēķini!T64,Aprēķini!T70)*Aprēķini!$B$170</f>
        <v>16687.593321280427</v>
      </c>
      <c r="U275" s="524">
        <f>SUM(Aprēķini!U58,Aprēķini!U64,Aprēķini!U70)*Aprēķini!$B$170</f>
        <v>16687.593321280427</v>
      </c>
      <c r="V275" s="524">
        <f>SUM(Aprēķini!V58,Aprēķini!V64,Aprēķini!V70)*Aprēķini!$B$170</f>
        <v>16687.593321280427</v>
      </c>
      <c r="W275" s="524">
        <f>SUM(Aprēķini!W58,Aprēķini!W64,Aprēķini!W70)*Aprēķini!$B$170</f>
        <v>16687.593321280427</v>
      </c>
      <c r="X275" s="524">
        <f>SUM(Aprēķini!X58,Aprēķini!X64,Aprēķini!X70)*Aprēķini!$B$170</f>
        <v>16687.593321280427</v>
      </c>
      <c r="Y275" s="524">
        <f>SUM(Aprēķini!Y58,Aprēķini!Y64,Aprēķini!Y70)*Aprēķini!$B$170</f>
        <v>16687.593321280427</v>
      </c>
      <c r="Z275" s="524">
        <f>SUM(Aprēķini!Z58,Aprēķini!Z64,Aprēķini!Z70)*Aprēķini!$B$170</f>
        <v>16687.593321280427</v>
      </c>
      <c r="AA275" s="524">
        <f>SUM(Aprēķini!AA58,Aprēķini!AA64,Aprēķini!AA70)*Aprēķini!$B$170</f>
        <v>16687.593321280427</v>
      </c>
      <c r="AB275" s="524">
        <f>SUM(Aprēķini!AB58,Aprēķini!AB64,Aprēķini!AB70)*Aprēķini!$B$170</f>
        <v>16687.593321280427</v>
      </c>
      <c r="AC275" s="524">
        <f>SUM(Aprēķini!AC58,Aprēķini!AC64,Aprēķini!AC70)*Aprēķini!$B$170</f>
        <v>16687.593321280427</v>
      </c>
      <c r="AD275" s="524">
        <f>SUM(Aprēķini!AD58,Aprēķini!AD64,Aprēķini!AD70)*Aprēķini!$B$170</f>
        <v>16687.593321280427</v>
      </c>
      <c r="AE275" s="524">
        <f>SUM(Aprēķini!AE58,Aprēķini!AE64,Aprēķini!AE70)*Aprēķini!$B$170</f>
        <v>16687.593321280427</v>
      </c>
      <c r="AF275" s="524">
        <f>SUM(Aprēķini!AF58,Aprēķini!AF64,Aprēķini!AF70)*Aprēķini!$B$170</f>
        <v>16687.593321280427</v>
      </c>
      <c r="AG275" s="524">
        <f>SUM(Aprēķini!AG58,Aprēķini!AG64,Aprēķini!AG70)*Aprēķini!$B$170</f>
        <v>16687.593321280427</v>
      </c>
      <c r="AH275" s="524">
        <f>SUM(Aprēķini!AH58,Aprēķini!AH64,Aprēķini!AH70)*Aprēķini!$B$170</f>
        <v>16687.593321280427</v>
      </c>
      <c r="AK275" s="110"/>
      <c r="AM275" s="110"/>
      <c r="AO275" s="110"/>
      <c r="AQ275" s="110"/>
    </row>
    <row r="276" spans="1:43" x14ac:dyDescent="0.2">
      <c r="A276" s="523" t="s">
        <v>549</v>
      </c>
      <c r="B276" s="525">
        <f t="shared" ref="B276:AG276" si="126">SUM(B277,B283)</f>
        <v>627510.27760000003</v>
      </c>
      <c r="C276" s="525">
        <f t="shared" si="126"/>
        <v>590825.60441669484</v>
      </c>
      <c r="D276" s="525">
        <f t="shared" si="126"/>
        <v>608632.03075635876</v>
      </c>
      <c r="E276" s="525">
        <f t="shared" si="126"/>
        <v>621573.89387980185</v>
      </c>
      <c r="F276" s="525">
        <f t="shared" si="126"/>
        <v>634441.70055840933</v>
      </c>
      <c r="G276" s="525">
        <f t="shared" si="126"/>
        <v>647359.49452391546</v>
      </c>
      <c r="H276" s="525">
        <f t="shared" si="126"/>
        <v>658920.62549755652</v>
      </c>
      <c r="I276" s="525">
        <f t="shared" si="126"/>
        <v>670481.79647119797</v>
      </c>
      <c r="J276" s="525">
        <f t="shared" si="126"/>
        <v>682041.82744483929</v>
      </c>
      <c r="K276" s="525">
        <f t="shared" si="126"/>
        <v>693601.85841848073</v>
      </c>
      <c r="L276" s="525">
        <f t="shared" si="126"/>
        <v>708704.21216812206</v>
      </c>
      <c r="M276" s="525">
        <f t="shared" si="126"/>
        <v>723806.56591776339</v>
      </c>
      <c r="N276" s="525">
        <f t="shared" si="126"/>
        <v>738908.91966740484</v>
      </c>
      <c r="O276" s="525">
        <f t="shared" si="126"/>
        <v>756248.96612786676</v>
      </c>
      <c r="P276" s="525">
        <f t="shared" si="126"/>
        <v>773589.01258832891</v>
      </c>
      <c r="Q276" s="525">
        <f t="shared" si="126"/>
        <v>790929.05904879072</v>
      </c>
      <c r="R276" s="525">
        <f t="shared" si="126"/>
        <v>856569.10550925275</v>
      </c>
      <c r="S276" s="525">
        <f t="shared" si="126"/>
        <v>874959.15196971479</v>
      </c>
      <c r="T276" s="525">
        <f t="shared" si="126"/>
        <v>893349.19843017682</v>
      </c>
      <c r="U276" s="525">
        <f t="shared" si="126"/>
        <v>911739.24489063898</v>
      </c>
      <c r="V276" s="525">
        <f t="shared" si="126"/>
        <v>937629.29135110101</v>
      </c>
      <c r="W276" s="525">
        <f t="shared" si="126"/>
        <v>956169.33781156293</v>
      </c>
      <c r="X276" s="525">
        <f t="shared" si="126"/>
        <v>974709.38427202497</v>
      </c>
      <c r="Y276" s="525">
        <f t="shared" si="126"/>
        <v>993249.430732487</v>
      </c>
      <c r="Z276" s="525">
        <f t="shared" si="126"/>
        <v>1011789.477192949</v>
      </c>
      <c r="AA276" s="525">
        <f t="shared" si="126"/>
        <v>1030329.5236534111</v>
      </c>
      <c r="AB276" s="525">
        <f t="shared" si="126"/>
        <v>1052411.8928898729</v>
      </c>
      <c r="AC276" s="525">
        <f t="shared" si="126"/>
        <v>1108694.2621263352</v>
      </c>
      <c r="AD276" s="525">
        <f t="shared" si="126"/>
        <v>1213156.6313627972</v>
      </c>
      <c r="AE276" s="525">
        <f t="shared" si="126"/>
        <v>1237249.000599259</v>
      </c>
      <c r="AF276" s="525">
        <f t="shared" si="126"/>
        <v>1264649.0625465419</v>
      </c>
      <c r="AG276" s="525">
        <f t="shared" si="126"/>
        <v>1292049.1244938243</v>
      </c>
      <c r="AH276" s="525">
        <f>SUM(AH277,AH283)</f>
        <v>1319449.1864411072</v>
      </c>
      <c r="AK276" s="110"/>
      <c r="AM276" s="110"/>
      <c r="AO276" s="110"/>
      <c r="AQ276" s="110"/>
    </row>
    <row r="277" spans="1:43" x14ac:dyDescent="0.2">
      <c r="A277" s="60" t="s">
        <v>285</v>
      </c>
      <c r="B277" s="574">
        <f t="shared" ref="B277:AG277" si="127">SUM(B278:B282)</f>
        <v>271292</v>
      </c>
      <c r="C277" s="574">
        <f t="shared" si="127"/>
        <v>223920.77848869489</v>
      </c>
      <c r="D277" s="574">
        <f t="shared" si="127"/>
        <v>231040.6565003588</v>
      </c>
      <c r="E277" s="574">
        <f t="shared" si="127"/>
        <v>236858.15407180181</v>
      </c>
      <c r="F277" s="574">
        <f t="shared" si="127"/>
        <v>242601.59519840928</v>
      </c>
      <c r="G277" s="574">
        <f t="shared" si="127"/>
        <v>248395.02361191539</v>
      </c>
      <c r="H277" s="574">
        <f t="shared" si="127"/>
        <v>252831.78903355665</v>
      </c>
      <c r="I277" s="574">
        <f t="shared" si="127"/>
        <v>257268.59445519801</v>
      </c>
      <c r="J277" s="574">
        <f t="shared" si="127"/>
        <v>261704.25987683938</v>
      </c>
      <c r="K277" s="574">
        <f t="shared" si="127"/>
        <v>266139.92529848072</v>
      </c>
      <c r="L277" s="574">
        <f t="shared" si="127"/>
        <v>270575.5907201221</v>
      </c>
      <c r="M277" s="574">
        <f t="shared" si="127"/>
        <v>275011.25614176341</v>
      </c>
      <c r="N277" s="574">
        <f t="shared" si="127"/>
        <v>279446.92156340473</v>
      </c>
      <c r="O277" s="574">
        <f t="shared" si="127"/>
        <v>286100.41969586676</v>
      </c>
      <c r="P277" s="574">
        <f t="shared" si="127"/>
        <v>292753.91782832885</v>
      </c>
      <c r="Q277" s="574">
        <f t="shared" si="127"/>
        <v>299407.41596079082</v>
      </c>
      <c r="R277" s="574">
        <f t="shared" si="127"/>
        <v>354360.9140932528</v>
      </c>
      <c r="S277" s="574">
        <f t="shared" si="127"/>
        <v>362064.41222571483</v>
      </c>
      <c r="T277" s="574">
        <f t="shared" si="127"/>
        <v>369767.91035817692</v>
      </c>
      <c r="U277" s="574">
        <f t="shared" si="127"/>
        <v>377471.40849063895</v>
      </c>
      <c r="V277" s="574">
        <f t="shared" si="127"/>
        <v>392674.90662310098</v>
      </c>
      <c r="W277" s="574">
        <f t="shared" si="127"/>
        <v>400528.40475556295</v>
      </c>
      <c r="X277" s="574">
        <f t="shared" si="127"/>
        <v>408381.90288802492</v>
      </c>
      <c r="Y277" s="574">
        <f t="shared" si="127"/>
        <v>416235.40102048701</v>
      </c>
      <c r="Z277" s="574">
        <f t="shared" si="127"/>
        <v>424088.89915294904</v>
      </c>
      <c r="AA277" s="574">
        <f t="shared" si="127"/>
        <v>431942.39728541102</v>
      </c>
      <c r="AB277" s="574">
        <f t="shared" si="127"/>
        <v>439795.89541787293</v>
      </c>
      <c r="AC277" s="574">
        <f t="shared" si="127"/>
        <v>481849.39355033502</v>
      </c>
      <c r="AD277" s="574">
        <f t="shared" si="127"/>
        <v>572082.89168279711</v>
      </c>
      <c r="AE277" s="574">
        <f t="shared" si="127"/>
        <v>581946.38981525903</v>
      </c>
      <c r="AF277" s="574">
        <f t="shared" si="127"/>
        <v>595097.72065854177</v>
      </c>
      <c r="AG277" s="574">
        <f t="shared" si="127"/>
        <v>608249.05150182452</v>
      </c>
      <c r="AH277" s="574">
        <f>SUM(AH278:AH282)</f>
        <v>621400.38234510715</v>
      </c>
      <c r="AK277" s="110"/>
      <c r="AM277" s="110"/>
      <c r="AO277" s="110"/>
      <c r="AQ277" s="110"/>
    </row>
    <row r="278" spans="1:43" x14ac:dyDescent="0.2">
      <c r="A278" s="30" t="s">
        <v>591</v>
      </c>
      <c r="B278" s="524">
        <f>'Saimnieciskas pamatdarbibas NP'!B73+'Saimnieciskas pamatdarbibas NP'!B79</f>
        <v>60574</v>
      </c>
      <c r="C278" s="524">
        <f>'Saimnieciskas pamatdarbibas NP'!C73+'Saimnieciskas pamatdarbibas NP'!C79</f>
        <v>38809.254033244841</v>
      </c>
      <c r="D278" s="524">
        <f>'Saimnieciskas pamatdarbibas NP'!D73+'Saimnieciskas pamatdarbibas NP'!D79</f>
        <v>40115.79556618465</v>
      </c>
      <c r="E278" s="524">
        <f>'Saimnieciskas pamatdarbibas NP'!E73+'Saimnieciskas pamatdarbibas NP'!E79</f>
        <v>41233.539949739526</v>
      </c>
      <c r="F278" s="524">
        <f>'Saimnieciskas pamatdarbibas NP'!F73+'Saimnieciskas pamatdarbibas NP'!F79</f>
        <v>42334.181874475355</v>
      </c>
      <c r="G278" s="524">
        <f>'Saimnieciskas pamatdarbibas NP'!G73+'Saimnieciskas pamatdarbibas NP'!G79</f>
        <v>43448.234799943239</v>
      </c>
      <c r="H278" s="524">
        <f>'Saimnieciskas pamatdarbibas NP'!H73+'Saimnieciskas pamatdarbibas NP'!H79</f>
        <v>44224.096135656502</v>
      </c>
      <c r="I278" s="524">
        <f>'Saimnieciskas pamatdarbibas NP'!I73+'Saimnieciskas pamatdarbibas NP'!I79</f>
        <v>44999.957471369766</v>
      </c>
      <c r="J278" s="524">
        <f>'Saimnieciskas pamatdarbibas NP'!J73+'Saimnieciskas pamatdarbibas NP'!J79</f>
        <v>45775.818807083044</v>
      </c>
      <c r="K278" s="524">
        <f>'Saimnieciskas pamatdarbibas NP'!K73+'Saimnieciskas pamatdarbibas NP'!K79</f>
        <v>46551.680142796322</v>
      </c>
      <c r="L278" s="524">
        <f>'Saimnieciskas pamatdarbibas NP'!L73+'Saimnieciskas pamatdarbibas NP'!L79</f>
        <v>47327.541478509593</v>
      </c>
      <c r="M278" s="524">
        <f>'Saimnieciskas pamatdarbibas NP'!M73+'Saimnieciskas pamatdarbibas NP'!M79</f>
        <v>48103.402814222864</v>
      </c>
      <c r="N278" s="524">
        <f>'Saimnieciskas pamatdarbibas NP'!N73+'Saimnieciskas pamatdarbibas NP'!N79</f>
        <v>48879.264149936134</v>
      </c>
      <c r="O278" s="524">
        <f>'Saimnieciskas pamatdarbibas NP'!O73+'Saimnieciskas pamatdarbibas NP'!O79</f>
        <v>50043.056153506041</v>
      </c>
      <c r="P278" s="524">
        <f>'Saimnieciskas pamatdarbibas NP'!P73+'Saimnieciskas pamatdarbibas NP'!P79</f>
        <v>51206.848157075954</v>
      </c>
      <c r="Q278" s="524">
        <f>'Saimnieciskas pamatdarbibas NP'!Q73+'Saimnieciskas pamatdarbibas NP'!Q79</f>
        <v>52370.640160645868</v>
      </c>
      <c r="R278" s="524">
        <f>'Saimnieciskas pamatdarbibas NP'!R73+'Saimnieciskas pamatdarbibas NP'!R79</f>
        <v>101834.43216421576</v>
      </c>
      <c r="S278" s="524">
        <f>'Saimnieciskas pamatdarbibas NP'!S73+'Saimnieciskas pamatdarbibas NP'!S79</f>
        <v>104048.22416778567</v>
      </c>
      <c r="T278" s="524">
        <f>'Saimnieciskas pamatdarbibas NP'!T73+'Saimnieciskas pamatdarbibas NP'!T79</f>
        <v>106262.01617135559</v>
      </c>
      <c r="U278" s="524">
        <f>'Saimnieciskas pamatdarbibas NP'!U73+'Saimnieciskas pamatdarbibas NP'!U79</f>
        <v>108475.80817492549</v>
      </c>
      <c r="V278" s="524">
        <f>'Saimnieciskas pamatdarbibas NP'!V73+'Saimnieciskas pamatdarbibas NP'!V79</f>
        <v>118189.6001784954</v>
      </c>
      <c r="W278" s="524">
        <f>'Saimnieciskas pamatdarbibas NP'!W73+'Saimnieciskas pamatdarbibas NP'!W79</f>
        <v>120553.39218206532</v>
      </c>
      <c r="X278" s="524">
        <f>'Saimnieciskas pamatdarbibas NP'!X73+'Saimnieciskas pamatdarbibas NP'!X79</f>
        <v>122917.18418563523</v>
      </c>
      <c r="Y278" s="524">
        <f>'Saimnieciskas pamatdarbibas NP'!Y73+'Saimnieciskas pamatdarbibas NP'!Y79</f>
        <v>125280.97618920513</v>
      </c>
      <c r="Z278" s="524">
        <f>'Saimnieciskas pamatdarbibas NP'!Z73+'Saimnieciskas pamatdarbibas NP'!Z79</f>
        <v>127644.76819277505</v>
      </c>
      <c r="AA278" s="524">
        <f>'Saimnieciskas pamatdarbibas NP'!AA73+'Saimnieciskas pamatdarbibas NP'!AA79</f>
        <v>130008.56019634493</v>
      </c>
      <c r="AB278" s="524">
        <f>'Saimnieciskas pamatdarbibas NP'!AB73+'Saimnieciskas pamatdarbibas NP'!AB79</f>
        <v>132372.35219991484</v>
      </c>
      <c r="AC278" s="524">
        <f>'Saimnieciskas pamatdarbibas NP'!AC73+'Saimnieciskas pamatdarbibas NP'!AC79</f>
        <v>134736.14420348476</v>
      </c>
      <c r="AD278" s="524">
        <f>'Saimnieciskas pamatdarbibas NP'!AD73+'Saimnieciskas pamatdarbibas NP'!AD79</f>
        <v>137099.93620705465</v>
      </c>
      <c r="AE278" s="524">
        <f>'Saimnieciskas pamatdarbibas NP'!AE73+'Saimnieciskas pamatdarbibas NP'!AE79</f>
        <v>139463.72821062457</v>
      </c>
      <c r="AF278" s="524">
        <f>'Saimnieciskas pamatdarbibas NP'!AF73+'Saimnieciskas pamatdarbibas NP'!AF79</f>
        <v>142615.45088205111</v>
      </c>
      <c r="AG278" s="524">
        <f>'Saimnieciskas pamatdarbibas NP'!AG73+'Saimnieciskas pamatdarbibas NP'!AG79</f>
        <v>145767.17355347768</v>
      </c>
      <c r="AH278" s="524">
        <f>'Saimnieciskas pamatdarbibas NP'!AH73+'Saimnieciskas pamatdarbibas NP'!AH79</f>
        <v>148918.89622490419</v>
      </c>
      <c r="AK278" s="110"/>
      <c r="AM278" s="110"/>
      <c r="AO278" s="110"/>
      <c r="AQ278" s="110"/>
    </row>
    <row r="279" spans="1:43" x14ac:dyDescent="0.2">
      <c r="A279" s="30" t="s">
        <v>592</v>
      </c>
      <c r="B279" s="524">
        <f>'Saimnieciskas pamatdarbibas NP'!B74+'Saimnieciskas pamatdarbibas NP'!B80</f>
        <v>95848</v>
      </c>
      <c r="C279" s="524">
        <f>'Saimnieciskas pamatdarbibas NP'!C74+'Saimnieciskas pamatdarbibas NP'!C80</f>
        <v>99156.958367212617</v>
      </c>
      <c r="D279" s="524">
        <f>'Saimnieciskas pamatdarbibas NP'!D74+'Saimnieciskas pamatdarbibas NP'!D80</f>
        <v>102084.22260909886</v>
      </c>
      <c r="E279" s="524">
        <f>'Saimnieciskas pamatdarbibas NP'!E74+'Saimnieciskas pamatdarbibas NP'!E80</f>
        <v>104324.29142407811</v>
      </c>
      <c r="F279" s="524">
        <f>'Saimnieciskas pamatdarbibas NP'!F74+'Saimnieciskas pamatdarbibas NP'!F80</f>
        <v>106547.59387784218</v>
      </c>
      <c r="G279" s="524">
        <f>'Saimnieciskas pamatdarbibas NP'!G74+'Saimnieciskas pamatdarbibas NP'!G80</f>
        <v>108778.50660613684</v>
      </c>
      <c r="H279" s="524">
        <f>'Saimnieciskas pamatdarbibas NP'!H74+'Saimnieciskas pamatdarbibas NP'!H80</f>
        <v>110722.11993838925</v>
      </c>
      <c r="I279" s="524">
        <f>'Saimnieciskas pamatdarbibas NP'!I74+'Saimnieciskas pamatdarbibas NP'!I80</f>
        <v>112665.7732706417</v>
      </c>
      <c r="J279" s="524">
        <f>'Saimnieciskas pamatdarbibas NP'!J74+'Saimnieciskas pamatdarbibas NP'!J80</f>
        <v>114608.28660289415</v>
      </c>
      <c r="K279" s="524">
        <f>'Saimnieciskas pamatdarbibas NP'!K74+'Saimnieciskas pamatdarbibas NP'!K80</f>
        <v>116550.7999351466</v>
      </c>
      <c r="L279" s="524">
        <f>'Saimnieciskas pamatdarbibas NP'!L74+'Saimnieciskas pamatdarbibas NP'!L80</f>
        <v>118493.31326739905</v>
      </c>
      <c r="M279" s="524">
        <f>'Saimnieciskas pamatdarbibas NP'!M74+'Saimnieciskas pamatdarbibas NP'!M80</f>
        <v>120435.82659965148</v>
      </c>
      <c r="N279" s="524">
        <f>'Saimnieciskas pamatdarbibas NP'!N74+'Saimnieciskas pamatdarbibas NP'!N80</f>
        <v>122378.33993190392</v>
      </c>
      <c r="O279" s="524">
        <f>'Saimnieciskas pamatdarbibas NP'!O74+'Saimnieciskas pamatdarbibas NP'!O80</f>
        <v>125292.10993028259</v>
      </c>
      <c r="P279" s="524">
        <f>'Saimnieciskas pamatdarbibas NP'!P74+'Saimnieciskas pamatdarbibas NP'!P80</f>
        <v>128205.87992866126</v>
      </c>
      <c r="Q279" s="524">
        <f>'Saimnieciskas pamatdarbibas NP'!Q74+'Saimnieciskas pamatdarbibas NP'!Q80</f>
        <v>131119.64992703992</v>
      </c>
      <c r="R279" s="524">
        <f>'Saimnieciskas pamatdarbibas NP'!R74+'Saimnieciskas pamatdarbibas NP'!R80</f>
        <v>134033.41992541857</v>
      </c>
      <c r="S279" s="524">
        <f>'Saimnieciskas pamatdarbibas NP'!S74+'Saimnieciskas pamatdarbibas NP'!S80</f>
        <v>136947.18992379724</v>
      </c>
      <c r="T279" s="524">
        <f>'Saimnieciskas pamatdarbibas NP'!T74+'Saimnieciskas pamatdarbibas NP'!T80</f>
        <v>139860.95992217591</v>
      </c>
      <c r="U279" s="524">
        <f>'Saimnieciskas pamatdarbibas NP'!U74+'Saimnieciskas pamatdarbibas NP'!U80</f>
        <v>142774.72992055459</v>
      </c>
      <c r="V279" s="524">
        <f>'Saimnieciskas pamatdarbibas NP'!V74+'Saimnieciskas pamatdarbibas NP'!V80</f>
        <v>145688.49991893326</v>
      </c>
      <c r="W279" s="524">
        <f>'Saimnieciskas pamatdarbibas NP'!W74+'Saimnieciskas pamatdarbibas NP'!W80</f>
        <v>148602.2699173119</v>
      </c>
      <c r="X279" s="524">
        <f>'Saimnieciskas pamatdarbibas NP'!X74+'Saimnieciskas pamatdarbibas NP'!X80</f>
        <v>151516.03991569058</v>
      </c>
      <c r="Y279" s="524">
        <f>'Saimnieciskas pamatdarbibas NP'!Y74+'Saimnieciskas pamatdarbibas NP'!Y80</f>
        <v>154429.80991406925</v>
      </c>
      <c r="Z279" s="524">
        <f>'Saimnieciskas pamatdarbibas NP'!Z74+'Saimnieciskas pamatdarbibas NP'!Z80</f>
        <v>157343.57991244792</v>
      </c>
      <c r="AA279" s="524">
        <f>'Saimnieciskas pamatdarbibas NP'!AA74+'Saimnieciskas pamatdarbibas NP'!AA80</f>
        <v>160257.34991082657</v>
      </c>
      <c r="AB279" s="524">
        <f>'Saimnieciskas pamatdarbibas NP'!AB74+'Saimnieciskas pamatdarbibas NP'!AB80</f>
        <v>163171.11990920521</v>
      </c>
      <c r="AC279" s="524">
        <f>'Saimnieciskas pamatdarbibas NP'!AC74+'Saimnieciskas pamatdarbibas NP'!AC80</f>
        <v>166084.88990758389</v>
      </c>
      <c r="AD279" s="524">
        <f>'Saimnieciskas pamatdarbibas NP'!AD74+'Saimnieciskas pamatdarbibas NP'!AD80</f>
        <v>168998.65990596256</v>
      </c>
      <c r="AE279" s="524">
        <f>'Saimnieciskas pamatdarbibas NP'!AE74+'Saimnieciskas pamatdarbibas NP'!AE80</f>
        <v>171912.42990434123</v>
      </c>
      <c r="AF279" s="524">
        <f>'Saimnieciskas pamatdarbibas NP'!AF74+'Saimnieciskas pamatdarbibas NP'!AF80</f>
        <v>175797.45656884613</v>
      </c>
      <c r="AG279" s="524">
        <f>'Saimnieciskas pamatdarbibas NP'!AG74+'Saimnieciskas pamatdarbibas NP'!AG80</f>
        <v>179682.48323335103</v>
      </c>
      <c r="AH279" s="524">
        <f>'Saimnieciskas pamatdarbibas NP'!AH74+'Saimnieciskas pamatdarbibas NP'!AH80</f>
        <v>183567.50989785587</v>
      </c>
      <c r="AK279" s="110"/>
      <c r="AM279" s="110"/>
      <c r="AO279" s="110"/>
      <c r="AQ279" s="110"/>
    </row>
    <row r="280" spans="1:43" x14ac:dyDescent="0.2">
      <c r="A280" s="30" t="s">
        <v>593</v>
      </c>
      <c r="B280" s="524">
        <f>'Saimnieciskas pamatdarbibas NP'!B81+'Saimnieciskas pamatdarbibas NP'!B75</f>
        <v>19800</v>
      </c>
      <c r="C280" s="524">
        <f>'Saimnieciskas pamatdarbibas NP'!C81+'Saimnieciskas pamatdarbibas NP'!C75</f>
        <v>20422.225341685757</v>
      </c>
      <c r="D280" s="524">
        <f>'Saimnieciskas pamatdarbibas NP'!D81+'Saimnieciskas pamatdarbibas NP'!D75</f>
        <v>21070.379684175387</v>
      </c>
      <c r="E280" s="524">
        <f>'Saimnieciskas pamatdarbibas NP'!E81+'Saimnieciskas pamatdarbibas NP'!E75</f>
        <v>21576.771133656639</v>
      </c>
      <c r="F280" s="524">
        <f>'Saimnieciskas pamatdarbibas NP'!F81+'Saimnieciskas pamatdarbibas NP'!F75</f>
        <v>22062.277950420663</v>
      </c>
      <c r="G280" s="524">
        <f>'Saimnieciskas pamatdarbibas NP'!G81+'Saimnieciskas pamatdarbibas NP'!G75</f>
        <v>22551.050669346449</v>
      </c>
      <c r="H280" s="524">
        <f>'Saimnieciskas pamatdarbibas NP'!H81+'Saimnieciskas pamatdarbibas NP'!H75</f>
        <v>22953.748002727636</v>
      </c>
      <c r="I280" s="524">
        <f>'Saimnieciskas pamatdarbibas NP'!I81+'Saimnieciskas pamatdarbibas NP'!I75</f>
        <v>23356.44533610882</v>
      </c>
      <c r="J280" s="524">
        <f>'Saimnieciskas pamatdarbibas NP'!J81+'Saimnieciskas pamatdarbibas NP'!J75</f>
        <v>23759.142669490007</v>
      </c>
      <c r="K280" s="524">
        <f>'Saimnieciskas pamatdarbibas NP'!K81+'Saimnieciskas pamatdarbibas NP'!K75</f>
        <v>24161.840002871195</v>
      </c>
      <c r="L280" s="524">
        <f>'Saimnieciskas pamatdarbibas NP'!L81+'Saimnieciskas pamatdarbibas NP'!L75</f>
        <v>24564.537336252382</v>
      </c>
      <c r="M280" s="524">
        <f>'Saimnieciskas pamatdarbibas NP'!M81+'Saimnieciskas pamatdarbibas NP'!M75</f>
        <v>24967.234669633566</v>
      </c>
      <c r="N280" s="524">
        <f>'Saimnieciskas pamatdarbibas NP'!N81+'Saimnieciskas pamatdarbibas NP'!N75</f>
        <v>25369.932003014757</v>
      </c>
      <c r="O280" s="524">
        <f>'Saimnieciskas pamatdarbibas NP'!O81+'Saimnieciskas pamatdarbibas NP'!O75</f>
        <v>25973.978003086537</v>
      </c>
      <c r="P280" s="524">
        <f>'Saimnieciskas pamatdarbibas NP'!P81+'Saimnieciskas pamatdarbibas NP'!P75</f>
        <v>26578.024003158316</v>
      </c>
      <c r="Q280" s="524">
        <f>'Saimnieciskas pamatdarbibas NP'!Q81+'Saimnieciskas pamatdarbibas NP'!Q75</f>
        <v>27182.070003230096</v>
      </c>
      <c r="R280" s="524">
        <f>'Saimnieciskas pamatdarbibas NP'!R81+'Saimnieciskas pamatdarbibas NP'!R75</f>
        <v>27786.116003301875</v>
      </c>
      <c r="S280" s="524">
        <f>'Saimnieciskas pamatdarbibas NP'!S81+'Saimnieciskas pamatdarbibas NP'!S75</f>
        <v>28390.162003373654</v>
      </c>
      <c r="T280" s="524">
        <f>'Saimnieciskas pamatdarbibas NP'!T81+'Saimnieciskas pamatdarbibas NP'!T75</f>
        <v>28994.208003445434</v>
      </c>
      <c r="U280" s="524">
        <f>'Saimnieciskas pamatdarbibas NP'!U81+'Saimnieciskas pamatdarbibas NP'!U75</f>
        <v>29598.254003517213</v>
      </c>
      <c r="V280" s="524">
        <f>'Saimnieciskas pamatdarbibas NP'!V81+'Saimnieciskas pamatdarbibas NP'!V75</f>
        <v>30202.300003588993</v>
      </c>
      <c r="W280" s="524">
        <f>'Saimnieciskas pamatdarbibas NP'!W81+'Saimnieciskas pamatdarbibas NP'!W75</f>
        <v>30806.346003660776</v>
      </c>
      <c r="X280" s="524">
        <f>'Saimnieciskas pamatdarbibas NP'!X81+'Saimnieciskas pamatdarbibas NP'!X75</f>
        <v>31410.392003732555</v>
      </c>
      <c r="Y280" s="524">
        <f>'Saimnieciskas pamatdarbibas NP'!Y81+'Saimnieciskas pamatdarbibas NP'!Y75</f>
        <v>32014.438003804335</v>
      </c>
      <c r="Z280" s="524">
        <f>'Saimnieciskas pamatdarbibas NP'!Z81+'Saimnieciskas pamatdarbibas NP'!Z75</f>
        <v>32618.484003876114</v>
      </c>
      <c r="AA280" s="524">
        <f>'Saimnieciskas pamatdarbibas NP'!AA81+'Saimnieciskas pamatdarbibas NP'!AA75</f>
        <v>33222.53000394789</v>
      </c>
      <c r="AB280" s="524">
        <f>'Saimnieciskas pamatdarbibas NP'!AB81+'Saimnieciskas pamatdarbibas NP'!AB75</f>
        <v>33826.576004019676</v>
      </c>
      <c r="AC280" s="524">
        <f>'Saimnieciskas pamatdarbibas NP'!AC81+'Saimnieciskas pamatdarbibas NP'!AC75</f>
        <v>34430.622004091449</v>
      </c>
      <c r="AD280" s="524">
        <f>'Saimnieciskas pamatdarbibas NP'!AD81+'Saimnieciskas pamatdarbibas NP'!AD75</f>
        <v>35034.668004163235</v>
      </c>
      <c r="AE280" s="524">
        <f>'Saimnieciskas pamatdarbibas NP'!AE81+'Saimnieciskas pamatdarbibas NP'!AE75</f>
        <v>35638.714004235015</v>
      </c>
      <c r="AF280" s="524">
        <f>'Saimnieciskas pamatdarbibas NP'!AF81+'Saimnieciskas pamatdarbibas NP'!AF75</f>
        <v>36444.10867099739</v>
      </c>
      <c r="AG280" s="524">
        <f>'Saimnieciskas pamatdarbibas NP'!AG81+'Saimnieciskas pamatdarbibas NP'!AG75</f>
        <v>37249.503337759757</v>
      </c>
      <c r="AH280" s="524">
        <f>'Saimnieciskas pamatdarbibas NP'!AH81+'Saimnieciskas pamatdarbibas NP'!AH75</f>
        <v>38054.898004522132</v>
      </c>
      <c r="AK280" s="110"/>
      <c r="AM280" s="110"/>
      <c r="AO280" s="110"/>
      <c r="AQ280" s="110"/>
    </row>
    <row r="281" spans="1:43" x14ac:dyDescent="0.2">
      <c r="A281" s="30" t="s">
        <v>594</v>
      </c>
      <c r="B281" s="524">
        <f>'Saimnieciskas pamatdarbibas NP'!B82+'Saimnieciskas pamatdarbibas NP'!B76</f>
        <v>64898</v>
      </c>
      <c r="C281" s="524">
        <f>'Saimnieciskas pamatdarbibas NP'!C82+'Saimnieciskas pamatdarbibas NP'!C76</f>
        <v>44521.966995180177</v>
      </c>
      <c r="D281" s="524">
        <f>'Saimnieciskas pamatdarbibas NP'!D82+'Saimnieciskas pamatdarbibas NP'!D76</f>
        <v>46044.305439070333</v>
      </c>
      <c r="E281" s="524">
        <f>'Saimnieciskas pamatdarbibas NP'!E82+'Saimnieciskas pamatdarbibas NP'!E76</f>
        <v>47375.342145816627</v>
      </c>
      <c r="F281" s="524">
        <f>'Saimnieciskas pamatdarbibas NP'!F82+'Saimnieciskas pamatdarbibas NP'!F76</f>
        <v>48693.844482819521</v>
      </c>
      <c r="G281" s="524">
        <f>'Saimnieciskas pamatdarbibas NP'!G82+'Saimnieciskas pamatdarbibas NP'!G76</f>
        <v>50029.992174730927</v>
      </c>
      <c r="H281" s="524">
        <f>'Saimnieciskas pamatdarbibas NP'!H82+'Saimnieciskas pamatdarbibas NP'!H76</f>
        <v>50923.384892136826</v>
      </c>
      <c r="I281" s="524">
        <f>'Saimnieciskas pamatdarbibas NP'!I82+'Saimnieciskas pamatdarbibas NP'!I76</f>
        <v>51816.777609542733</v>
      </c>
      <c r="J281" s="524">
        <f>'Saimnieciskas pamatdarbibas NP'!J82+'Saimnieciskas pamatdarbibas NP'!J76</f>
        <v>52710.170326948646</v>
      </c>
      <c r="K281" s="524">
        <f>'Saimnieciskas pamatdarbibas NP'!K82+'Saimnieciskas pamatdarbibas NP'!K76</f>
        <v>53603.563044354552</v>
      </c>
      <c r="L281" s="524">
        <f>'Saimnieciskas pamatdarbibas NP'!L82+'Saimnieciskas pamatdarbibas NP'!L76</f>
        <v>54496.955761760466</v>
      </c>
      <c r="M281" s="524">
        <f>'Saimnieciskas pamatdarbibas NP'!M82+'Saimnieciskas pamatdarbibas NP'!M76</f>
        <v>55390.348479166372</v>
      </c>
      <c r="N281" s="524">
        <f>'Saimnieciskas pamatdarbibas NP'!N82+'Saimnieciskas pamatdarbibas NP'!N76</f>
        <v>56283.741196572286</v>
      </c>
      <c r="O281" s="524">
        <f>'Saimnieciskas pamatdarbibas NP'!O82+'Saimnieciskas pamatdarbibas NP'!O76</f>
        <v>57623.830272681153</v>
      </c>
      <c r="P281" s="524">
        <f>'Saimnieciskas pamatdarbibas NP'!P82+'Saimnieciskas pamatdarbibas NP'!P76</f>
        <v>58963.919348790019</v>
      </c>
      <c r="Q281" s="524">
        <f>'Saimnieciskas pamatdarbibas NP'!Q82+'Saimnieciskas pamatdarbibas NP'!Q76</f>
        <v>60304.008424898886</v>
      </c>
      <c r="R281" s="524">
        <f>'Saimnieciskas pamatdarbibas NP'!R82+'Saimnieciskas pamatdarbibas NP'!R76</f>
        <v>61644.097501007738</v>
      </c>
      <c r="S281" s="524">
        <f>'Saimnieciskas pamatdarbibas NP'!S82+'Saimnieciskas pamatdarbibas NP'!S76</f>
        <v>62984.186577116605</v>
      </c>
      <c r="T281" s="524">
        <f>'Saimnieciskas pamatdarbibas NP'!T82+'Saimnieciskas pamatdarbibas NP'!T76</f>
        <v>64324.275653225464</v>
      </c>
      <c r="U281" s="524">
        <f>'Saimnieciskas pamatdarbibas NP'!U82+'Saimnieciskas pamatdarbibas NP'!U76</f>
        <v>65664.364729334338</v>
      </c>
      <c r="V281" s="524">
        <f>'Saimnieciskas pamatdarbibas NP'!V82+'Saimnieciskas pamatdarbibas NP'!V76</f>
        <v>67004.453805443191</v>
      </c>
      <c r="W281" s="524">
        <f>'Saimnieciskas pamatdarbibas NP'!W82+'Saimnieciskas pamatdarbibas NP'!W76</f>
        <v>68344.542881552072</v>
      </c>
      <c r="X281" s="524">
        <f>'Saimnieciskas pamatdarbibas NP'!X82+'Saimnieciskas pamatdarbibas NP'!X76</f>
        <v>69684.631957660924</v>
      </c>
      <c r="Y281" s="524">
        <f>'Saimnieciskas pamatdarbibas NP'!Y82+'Saimnieciskas pamatdarbibas NP'!Y76</f>
        <v>71024.721033769805</v>
      </c>
      <c r="Z281" s="524">
        <f>'Saimnieciskas pamatdarbibas NP'!Z82+'Saimnieciskas pamatdarbibas NP'!Z76</f>
        <v>72364.810109878657</v>
      </c>
      <c r="AA281" s="524">
        <f>'Saimnieciskas pamatdarbibas NP'!AA82+'Saimnieciskas pamatdarbibas NP'!AA76</f>
        <v>73704.89918598751</v>
      </c>
      <c r="AB281" s="524">
        <f>'Saimnieciskas pamatdarbibas NP'!AB82+'Saimnieciskas pamatdarbibas NP'!AB76</f>
        <v>75044.988262096376</v>
      </c>
      <c r="AC281" s="524">
        <f>'Saimnieciskas pamatdarbibas NP'!AC82+'Saimnieciskas pamatdarbibas NP'!AC76</f>
        <v>76385.077338205243</v>
      </c>
      <c r="AD281" s="524">
        <f>'Saimnieciskas pamatdarbibas NP'!AD82+'Saimnieciskas pamatdarbibas NP'!AD76</f>
        <v>77725.16641431411</v>
      </c>
      <c r="AE281" s="524">
        <f>'Saimnieciskas pamatdarbibas NP'!AE82+'Saimnieciskas pamatdarbibas NP'!AE76</f>
        <v>79065.255490422976</v>
      </c>
      <c r="AF281" s="524">
        <f>'Saimnieciskas pamatdarbibas NP'!AF82+'Saimnieciskas pamatdarbibas NP'!AF76</f>
        <v>80852.040925234789</v>
      </c>
      <c r="AG281" s="524">
        <f>'Saimnieciskas pamatdarbibas NP'!AG82+'Saimnieciskas pamatdarbibas NP'!AG76</f>
        <v>82638.826360046616</v>
      </c>
      <c r="AH281" s="524">
        <f>'Saimnieciskas pamatdarbibas NP'!AH82+'Saimnieciskas pamatdarbibas NP'!AH76</f>
        <v>84425.611794858414</v>
      </c>
      <c r="AK281" s="110"/>
      <c r="AM281" s="110"/>
      <c r="AO281" s="110"/>
      <c r="AQ281" s="110"/>
    </row>
    <row r="282" spans="1:43" ht="25.5" x14ac:dyDescent="0.2">
      <c r="A282" s="30" t="s">
        <v>595</v>
      </c>
      <c r="B282" s="524">
        <f>'Saimnieciskas pamatdarbibas NP'!B77+'Saimnieciskas pamatdarbibas NP'!B83</f>
        <v>30172</v>
      </c>
      <c r="C282" s="524">
        <f>'Saimnieciskas pamatdarbibas NP'!C77+'Saimnieciskas pamatdarbibas NP'!C83</f>
        <v>21010.373751371488</v>
      </c>
      <c r="D282" s="524">
        <f>'Saimnieciskas pamatdarbibas NP'!D77+'Saimnieciskas pamatdarbibas NP'!D83</f>
        <v>21725.953201829569</v>
      </c>
      <c r="E282" s="524">
        <f>'Saimnieciskas pamatdarbibas NP'!E77+'Saimnieciskas pamatdarbibas NP'!E83</f>
        <v>22348.209418510894</v>
      </c>
      <c r="F282" s="524">
        <f>'Saimnieciskas pamatdarbibas NP'!F77+'Saimnieciskas pamatdarbibas NP'!F83</f>
        <v>22963.697012851568</v>
      </c>
      <c r="G282" s="524">
        <f>'Saimnieciskas pamatdarbibas NP'!G77+'Saimnieciskas pamatdarbibas NP'!G83</f>
        <v>23587.239361757933</v>
      </c>
      <c r="H282" s="524">
        <f>'Saimnieciskas pamatdarbibas NP'!H77+'Saimnieciskas pamatdarbibas NP'!H83</f>
        <v>24008.440064646464</v>
      </c>
      <c r="I282" s="524">
        <f>'Saimnieciskas pamatdarbibas NP'!I77+'Saimnieciskas pamatdarbibas NP'!I83</f>
        <v>24429.640767534998</v>
      </c>
      <c r="J282" s="524">
        <f>'Saimnieciskas pamatdarbibas NP'!J77+'Saimnieciskas pamatdarbibas NP'!J83</f>
        <v>24850.841470423533</v>
      </c>
      <c r="K282" s="524">
        <f>'Saimnieciskas pamatdarbibas NP'!K77+'Saimnieciskas pamatdarbibas NP'!K83</f>
        <v>25272.042173312067</v>
      </c>
      <c r="L282" s="524">
        <f>'Saimnieciskas pamatdarbibas NP'!L77+'Saimnieciskas pamatdarbibas NP'!L83</f>
        <v>25693.242876200602</v>
      </c>
      <c r="M282" s="524">
        <f>'Saimnieciskas pamatdarbibas NP'!M77+'Saimnieciskas pamatdarbibas NP'!M83</f>
        <v>26114.443579089137</v>
      </c>
      <c r="N282" s="524">
        <f>'Saimnieciskas pamatdarbibas NP'!N77+'Saimnieciskas pamatdarbibas NP'!N83</f>
        <v>26535.644281977671</v>
      </c>
      <c r="O282" s="524">
        <f>'Saimnieciskas pamatdarbibas NP'!O77+'Saimnieciskas pamatdarbibas NP'!O83</f>
        <v>27167.445336310477</v>
      </c>
      <c r="P282" s="524">
        <f>'Saimnieciskas pamatdarbibas NP'!P77+'Saimnieciskas pamatdarbibas NP'!P83</f>
        <v>27799.246390643275</v>
      </c>
      <c r="Q282" s="524">
        <f>'Saimnieciskas pamatdarbibas NP'!Q77+'Saimnieciskas pamatdarbibas NP'!Q83</f>
        <v>28431.04744497608</v>
      </c>
      <c r="R282" s="524">
        <f>'Saimnieciskas pamatdarbibas NP'!R77+'Saimnieciskas pamatdarbibas NP'!R83</f>
        <v>29062.848499308879</v>
      </c>
      <c r="S282" s="524">
        <f>'Saimnieciskas pamatdarbibas NP'!S77+'Saimnieciskas pamatdarbibas NP'!S83</f>
        <v>29694.649553641677</v>
      </c>
      <c r="T282" s="524">
        <f>'Saimnieciskas pamatdarbibas NP'!T77+'Saimnieciskas pamatdarbibas NP'!T83</f>
        <v>30326.450607974482</v>
      </c>
      <c r="U282" s="524">
        <f>'Saimnieciskas pamatdarbibas NP'!U77+'Saimnieciskas pamatdarbibas NP'!U83</f>
        <v>30958.251662307284</v>
      </c>
      <c r="V282" s="524">
        <f>'Saimnieciskas pamatdarbibas NP'!V77+'Saimnieciskas pamatdarbibas NP'!V83</f>
        <v>31590.052716640086</v>
      </c>
      <c r="W282" s="524">
        <f>'Saimnieciskas pamatdarbibas NP'!W77+'Saimnieciskas pamatdarbibas NP'!W83</f>
        <v>32221.853770972884</v>
      </c>
      <c r="X282" s="524">
        <f>'Saimnieciskas pamatdarbibas NP'!X77+'Saimnieciskas pamatdarbibas NP'!X83</f>
        <v>32853.65482530569</v>
      </c>
      <c r="Y282" s="524">
        <f>'Saimnieciskas pamatdarbibas NP'!Y77+'Saimnieciskas pamatdarbibas NP'!Y83</f>
        <v>33485.455879638495</v>
      </c>
      <c r="Z282" s="524">
        <f>'Saimnieciskas pamatdarbibas NP'!Z77+'Saimnieciskas pamatdarbibas NP'!Z83</f>
        <v>34117.256933971294</v>
      </c>
      <c r="AA282" s="524">
        <f>'Saimnieciskas pamatdarbibas NP'!AA77+'Saimnieciskas pamatdarbibas NP'!AA83</f>
        <v>34749.057988304092</v>
      </c>
      <c r="AB282" s="524">
        <f>'Saimnieciskas pamatdarbibas NP'!AB77+'Saimnieciskas pamatdarbibas NP'!AB83</f>
        <v>35380.85904263689</v>
      </c>
      <c r="AC282" s="524">
        <f>'Saimnieciskas pamatdarbibas NP'!AC77+'Saimnieciskas pamatdarbibas NP'!AC83</f>
        <v>70212.660096969688</v>
      </c>
      <c r="AD282" s="524">
        <f>'Saimnieciskas pamatdarbibas NP'!AD77+'Saimnieciskas pamatdarbibas NP'!AD83</f>
        <v>153224.4611513025</v>
      </c>
      <c r="AE282" s="524">
        <f>'Saimnieciskas pamatdarbibas NP'!AE77+'Saimnieciskas pamatdarbibas NP'!AE83</f>
        <v>155866.26220563531</v>
      </c>
      <c r="AF282" s="524">
        <f>'Saimnieciskas pamatdarbibas NP'!AF77+'Saimnieciskas pamatdarbibas NP'!AF83</f>
        <v>159388.66361141237</v>
      </c>
      <c r="AG282" s="524">
        <f>'Saimnieciskas pamatdarbibas NP'!AG77+'Saimnieciskas pamatdarbibas NP'!AG83</f>
        <v>162911.06501718945</v>
      </c>
      <c r="AH282" s="524">
        <f>'Saimnieciskas pamatdarbibas NP'!AH77+'Saimnieciskas pamatdarbibas NP'!AH83</f>
        <v>166433.46642296651</v>
      </c>
      <c r="AI282" s="110"/>
      <c r="AJ282" s="110"/>
      <c r="AK282" s="110"/>
      <c r="AM282" s="110"/>
      <c r="AO282" s="110"/>
      <c r="AQ282" s="110"/>
    </row>
    <row r="283" spans="1:43" ht="12.75" customHeight="1" x14ac:dyDescent="0.2">
      <c r="A283" s="60" t="s">
        <v>291</v>
      </c>
      <c r="B283" s="574">
        <f t="shared" ref="B283:AG283" si="128">SUM(B284:B286)</f>
        <v>356218.27760000003</v>
      </c>
      <c r="C283" s="574">
        <f t="shared" si="128"/>
        <v>366904.82592799998</v>
      </c>
      <c r="D283" s="574">
        <f t="shared" si="128"/>
        <v>377591.37425599992</v>
      </c>
      <c r="E283" s="574">
        <f t="shared" si="128"/>
        <v>384715.73980800004</v>
      </c>
      <c r="F283" s="574">
        <f t="shared" si="128"/>
        <v>391840.10535999999</v>
      </c>
      <c r="G283" s="574">
        <f t="shared" si="128"/>
        <v>398964.47091200005</v>
      </c>
      <c r="H283" s="574">
        <f t="shared" si="128"/>
        <v>406088.83646399993</v>
      </c>
      <c r="I283" s="574">
        <f t="shared" si="128"/>
        <v>413213.202016</v>
      </c>
      <c r="J283" s="574">
        <f t="shared" si="128"/>
        <v>420337.56756799994</v>
      </c>
      <c r="K283" s="574">
        <f t="shared" si="128"/>
        <v>427461.93312</v>
      </c>
      <c r="L283" s="574">
        <f t="shared" si="128"/>
        <v>438128.62144799996</v>
      </c>
      <c r="M283" s="574">
        <f t="shared" si="128"/>
        <v>448795.30977600004</v>
      </c>
      <c r="N283" s="574">
        <f t="shared" si="128"/>
        <v>459461.99810400006</v>
      </c>
      <c r="O283" s="574">
        <f t="shared" si="128"/>
        <v>470148.546432</v>
      </c>
      <c r="P283" s="574">
        <f t="shared" si="128"/>
        <v>480835.09476000007</v>
      </c>
      <c r="Q283" s="574">
        <f t="shared" si="128"/>
        <v>491521.6430879999</v>
      </c>
      <c r="R283" s="574">
        <f t="shared" si="128"/>
        <v>502208.19141599996</v>
      </c>
      <c r="S283" s="574">
        <f t="shared" si="128"/>
        <v>512894.73974400002</v>
      </c>
      <c r="T283" s="574">
        <f t="shared" si="128"/>
        <v>523581.28807199997</v>
      </c>
      <c r="U283" s="574">
        <f t="shared" si="128"/>
        <v>534267.83640000003</v>
      </c>
      <c r="V283" s="574">
        <f t="shared" si="128"/>
        <v>544954.38472800003</v>
      </c>
      <c r="W283" s="574">
        <f t="shared" si="128"/>
        <v>555640.93305599992</v>
      </c>
      <c r="X283" s="574">
        <f t="shared" si="128"/>
        <v>566327.48138400004</v>
      </c>
      <c r="Y283" s="574">
        <f t="shared" si="128"/>
        <v>577014.02971199993</v>
      </c>
      <c r="Z283" s="574">
        <f t="shared" si="128"/>
        <v>587700.57803999993</v>
      </c>
      <c r="AA283" s="574">
        <f t="shared" si="128"/>
        <v>598387.12636800006</v>
      </c>
      <c r="AB283" s="574">
        <f t="shared" si="128"/>
        <v>612615.99747199996</v>
      </c>
      <c r="AC283" s="574">
        <f t="shared" si="128"/>
        <v>626844.8685760001</v>
      </c>
      <c r="AD283" s="574">
        <f t="shared" si="128"/>
        <v>641073.73968000012</v>
      </c>
      <c r="AE283" s="574">
        <f t="shared" si="128"/>
        <v>655302.61078400002</v>
      </c>
      <c r="AF283" s="574">
        <f t="shared" si="128"/>
        <v>669551.34188800014</v>
      </c>
      <c r="AG283" s="574">
        <f t="shared" si="128"/>
        <v>683800.07299199991</v>
      </c>
      <c r="AH283" s="574">
        <f>SUM(AH284:AH286)</f>
        <v>698048.80409600004</v>
      </c>
      <c r="AK283" s="110"/>
      <c r="AM283" s="110"/>
      <c r="AO283" s="110"/>
      <c r="AQ283" s="110"/>
    </row>
    <row r="284" spans="1:43" x14ac:dyDescent="0.2">
      <c r="A284" s="30" t="s">
        <v>596</v>
      </c>
      <c r="B284" s="524">
        <f>'Saimnieciskas pamatdarbibas NP'!B88+'Saimnieciskas pamatdarbibas NP'!B92</f>
        <v>285464</v>
      </c>
      <c r="C284" s="524">
        <f>'Saimnieciskas pamatdarbibas NP'!C88+'Saimnieciskas pamatdarbibas NP'!C92</f>
        <v>294027.92</v>
      </c>
      <c r="D284" s="524">
        <f>'Saimnieciskas pamatdarbibas NP'!D88+'Saimnieciskas pamatdarbibas NP'!D92</f>
        <v>302591.83999999997</v>
      </c>
      <c r="E284" s="524">
        <f>'Saimnieciskas pamatdarbibas NP'!E88+'Saimnieciskas pamatdarbibas NP'!E92</f>
        <v>308301.12</v>
      </c>
      <c r="F284" s="524">
        <f>'Saimnieciskas pamatdarbibas NP'!F88+'Saimnieciskas pamatdarbibas NP'!F92</f>
        <v>314010.40000000002</v>
      </c>
      <c r="G284" s="524">
        <f>'Saimnieciskas pamatdarbibas NP'!G88+'Saimnieciskas pamatdarbibas NP'!G92</f>
        <v>319719.68000000005</v>
      </c>
      <c r="H284" s="524">
        <f>'Saimnieciskas pamatdarbibas NP'!H88+'Saimnieciskas pamatdarbibas NP'!H92</f>
        <v>325428.95999999996</v>
      </c>
      <c r="I284" s="524">
        <f>'Saimnieciskas pamatdarbibas NP'!I88+'Saimnieciskas pamatdarbibas NP'!I92</f>
        <v>331138.24</v>
      </c>
      <c r="J284" s="524">
        <f>'Saimnieciskas pamatdarbibas NP'!J88+'Saimnieciskas pamatdarbibas NP'!J92</f>
        <v>336847.51999999996</v>
      </c>
      <c r="K284" s="524">
        <f>'Saimnieciskas pamatdarbibas NP'!K88+'Saimnieciskas pamatdarbibas NP'!K92</f>
        <v>342556.8</v>
      </c>
      <c r="L284" s="524">
        <f>'Saimnieciskas pamatdarbibas NP'!L88+'Saimnieciskas pamatdarbibas NP'!L92</f>
        <v>351120.72</v>
      </c>
      <c r="M284" s="524">
        <f>'Saimnieciskas pamatdarbibas NP'!M88+'Saimnieciskas pamatdarbibas NP'!M92</f>
        <v>359684.64</v>
      </c>
      <c r="N284" s="524">
        <f>'Saimnieciskas pamatdarbibas NP'!N88+'Saimnieciskas pamatdarbibas NP'!N92</f>
        <v>368248.56000000006</v>
      </c>
      <c r="O284" s="524">
        <f>'Saimnieciskas pamatdarbibas NP'!O88+'Saimnieciskas pamatdarbibas NP'!O92</f>
        <v>376812.48</v>
      </c>
      <c r="P284" s="524">
        <f>'Saimnieciskas pamatdarbibas NP'!P88+'Saimnieciskas pamatdarbibas NP'!P92</f>
        <v>385376.4</v>
      </c>
      <c r="Q284" s="524">
        <f>'Saimnieciskas pamatdarbibas NP'!Q88+'Saimnieciskas pamatdarbibas NP'!Q92</f>
        <v>393940.31999999995</v>
      </c>
      <c r="R284" s="524">
        <f>'Saimnieciskas pamatdarbibas NP'!R88+'Saimnieciskas pamatdarbibas NP'!R92</f>
        <v>402504.24</v>
      </c>
      <c r="S284" s="524">
        <f>'Saimnieciskas pamatdarbibas NP'!S88+'Saimnieciskas pamatdarbibas NP'!S92</f>
        <v>411068.16000000003</v>
      </c>
      <c r="T284" s="524">
        <f>'Saimnieciskas pamatdarbibas NP'!T88+'Saimnieciskas pamatdarbibas NP'!T92</f>
        <v>419632.07999999996</v>
      </c>
      <c r="U284" s="524">
        <f>'Saimnieciskas pamatdarbibas NP'!U88+'Saimnieciskas pamatdarbibas NP'!U92</f>
        <v>428196</v>
      </c>
      <c r="V284" s="524">
        <f>'Saimnieciskas pamatdarbibas NP'!V88+'Saimnieciskas pamatdarbibas NP'!V92</f>
        <v>436759.92000000004</v>
      </c>
      <c r="W284" s="524">
        <f>'Saimnieciskas pamatdarbibas NP'!W88+'Saimnieciskas pamatdarbibas NP'!W92</f>
        <v>445323.83999999997</v>
      </c>
      <c r="X284" s="524">
        <f>'Saimnieciskas pamatdarbibas NP'!X88+'Saimnieciskas pamatdarbibas NP'!X92</f>
        <v>453887.76</v>
      </c>
      <c r="Y284" s="524">
        <f>'Saimnieciskas pamatdarbibas NP'!Y88+'Saimnieciskas pamatdarbibas NP'!Y92</f>
        <v>462451.68</v>
      </c>
      <c r="Z284" s="524">
        <f>'Saimnieciskas pamatdarbibas NP'!Z88+'Saimnieciskas pamatdarbibas NP'!Z92</f>
        <v>471015.6</v>
      </c>
      <c r="AA284" s="524">
        <f>'Saimnieciskas pamatdarbibas NP'!AA88+'Saimnieciskas pamatdarbibas NP'!AA92</f>
        <v>479579.52</v>
      </c>
      <c r="AB284" s="524">
        <f>'Saimnieciskas pamatdarbibas NP'!AB88+'Saimnieciskas pamatdarbibas NP'!AB92</f>
        <v>490998.07999999996</v>
      </c>
      <c r="AC284" s="524">
        <f>'Saimnieciskas pamatdarbibas NP'!AC88+'Saimnieciskas pamatdarbibas NP'!AC92</f>
        <v>502416.64000000001</v>
      </c>
      <c r="AD284" s="524">
        <f>'Saimnieciskas pamatdarbibas NP'!AD88+'Saimnieciskas pamatdarbibas NP'!AD92</f>
        <v>513835.20000000007</v>
      </c>
      <c r="AE284" s="524">
        <f>'Saimnieciskas pamatdarbibas NP'!AE88+'Saimnieciskas pamatdarbibas NP'!AE92</f>
        <v>525253.76</v>
      </c>
      <c r="AF284" s="524">
        <f>'Saimnieciskas pamatdarbibas NP'!AF88+'Saimnieciskas pamatdarbibas NP'!AF92</f>
        <v>536672.32000000007</v>
      </c>
      <c r="AG284" s="524">
        <f>'Saimnieciskas pamatdarbibas NP'!AG88+'Saimnieciskas pamatdarbibas NP'!AG92</f>
        <v>548090.87999999989</v>
      </c>
      <c r="AH284" s="524">
        <f>'Saimnieciskas pamatdarbibas NP'!AH88+'Saimnieciskas pamatdarbibas NP'!AH92</f>
        <v>559509.43999999994</v>
      </c>
      <c r="AK284" s="110"/>
      <c r="AM284" s="110"/>
      <c r="AO284" s="110"/>
      <c r="AQ284" s="110"/>
    </row>
    <row r="285" spans="1:43" x14ac:dyDescent="0.2">
      <c r="A285" s="30" t="s">
        <v>379</v>
      </c>
      <c r="B285" s="524">
        <f>'Saimnieciskas pamatdarbibas NP'!B89+'Saimnieciskas pamatdarbibas NP'!B93</f>
        <v>68768.277600000001</v>
      </c>
      <c r="C285" s="524">
        <f>'Saimnieciskas pamatdarbibas NP'!C89+'Saimnieciskas pamatdarbibas NP'!C93</f>
        <v>70831.325928000006</v>
      </c>
      <c r="D285" s="524">
        <f>'Saimnieciskas pamatdarbibas NP'!D89+'Saimnieciskas pamatdarbibas NP'!D93</f>
        <v>72894.374255999996</v>
      </c>
      <c r="E285" s="524">
        <f>'Saimnieciskas pamatdarbibas NP'!E89+'Saimnieciskas pamatdarbibas NP'!E93</f>
        <v>74269.739808000013</v>
      </c>
      <c r="F285" s="524">
        <f>'Saimnieciskas pamatdarbibas NP'!F89+'Saimnieciskas pamatdarbibas NP'!F93</f>
        <v>75645.105360000001</v>
      </c>
      <c r="G285" s="524">
        <f>'Saimnieciskas pamatdarbibas NP'!G89+'Saimnieciskas pamatdarbibas NP'!G93</f>
        <v>77020.470912000004</v>
      </c>
      <c r="H285" s="524">
        <f>'Saimnieciskas pamatdarbibas NP'!H89+'Saimnieciskas pamatdarbibas NP'!H93</f>
        <v>78395.836463999993</v>
      </c>
      <c r="I285" s="524">
        <f>'Saimnieciskas pamatdarbibas NP'!I89+'Saimnieciskas pamatdarbibas NP'!I93</f>
        <v>79771.202015999996</v>
      </c>
      <c r="J285" s="524">
        <f>'Saimnieciskas pamatdarbibas NP'!J89+'Saimnieciskas pamatdarbibas NP'!J93</f>
        <v>81146.567567999999</v>
      </c>
      <c r="K285" s="524">
        <f>'Saimnieciskas pamatdarbibas NP'!K89+'Saimnieciskas pamatdarbibas NP'!K93</f>
        <v>82521.933120000002</v>
      </c>
      <c r="L285" s="524">
        <f>'Saimnieciskas pamatdarbibas NP'!L89+'Saimnieciskas pamatdarbibas NP'!L93</f>
        <v>84584.981448000006</v>
      </c>
      <c r="M285" s="524">
        <f>'Saimnieciskas pamatdarbibas NP'!M89+'Saimnieciskas pamatdarbibas NP'!M93</f>
        <v>86648.029775999996</v>
      </c>
      <c r="N285" s="524">
        <f>'Saimnieciskas pamatdarbibas NP'!N89+'Saimnieciskas pamatdarbibas NP'!N93</f>
        <v>88711.078104000015</v>
      </c>
      <c r="O285" s="524">
        <f>'Saimnieciskas pamatdarbibas NP'!O89+'Saimnieciskas pamatdarbibas NP'!O93</f>
        <v>90774.126432000005</v>
      </c>
      <c r="P285" s="524">
        <f>'Saimnieciskas pamatdarbibas NP'!P89+'Saimnieciskas pamatdarbibas NP'!P93</f>
        <v>92837.174760000009</v>
      </c>
      <c r="Q285" s="524">
        <f>'Saimnieciskas pamatdarbibas NP'!Q89+'Saimnieciskas pamatdarbibas NP'!Q93</f>
        <v>94900.223087999999</v>
      </c>
      <c r="R285" s="524">
        <f>'Saimnieciskas pamatdarbibas NP'!R89+'Saimnieciskas pamatdarbibas NP'!R93</f>
        <v>96963.271415999989</v>
      </c>
      <c r="S285" s="524">
        <f>'Saimnieciskas pamatdarbibas NP'!S89+'Saimnieciskas pamatdarbibas NP'!S93</f>
        <v>99026.319744000008</v>
      </c>
      <c r="T285" s="524">
        <f>'Saimnieciskas pamatdarbibas NP'!T89+'Saimnieciskas pamatdarbibas NP'!T93</f>
        <v>101089.368072</v>
      </c>
      <c r="U285" s="524">
        <f>'Saimnieciskas pamatdarbibas NP'!U89+'Saimnieciskas pamatdarbibas NP'!U93</f>
        <v>103152.4164</v>
      </c>
      <c r="V285" s="524">
        <f>'Saimnieciskas pamatdarbibas NP'!V89+'Saimnieciskas pamatdarbibas NP'!V93</f>
        <v>105215.46472800002</v>
      </c>
      <c r="W285" s="524">
        <f>'Saimnieciskas pamatdarbibas NP'!W89+'Saimnieciskas pamatdarbibas NP'!W93</f>
        <v>107278.51305600001</v>
      </c>
      <c r="X285" s="524">
        <f>'Saimnieciskas pamatdarbibas NP'!X89+'Saimnieciskas pamatdarbibas NP'!X93</f>
        <v>109341.561384</v>
      </c>
      <c r="Y285" s="524">
        <f>'Saimnieciskas pamatdarbibas NP'!Y89+'Saimnieciskas pamatdarbibas NP'!Y93</f>
        <v>111404.609712</v>
      </c>
      <c r="Z285" s="524">
        <f>'Saimnieciskas pamatdarbibas NP'!Z89+'Saimnieciskas pamatdarbibas NP'!Z93</f>
        <v>113467.65804000001</v>
      </c>
      <c r="AA285" s="524">
        <f>'Saimnieciskas pamatdarbibas NP'!AA89+'Saimnieciskas pamatdarbibas NP'!AA93</f>
        <v>115530.70636800001</v>
      </c>
      <c r="AB285" s="524">
        <f>'Saimnieciskas pamatdarbibas NP'!AB89+'Saimnieciskas pamatdarbibas NP'!AB93</f>
        <v>118281.43747199999</v>
      </c>
      <c r="AC285" s="524">
        <f>'Saimnieciskas pamatdarbibas NP'!AC89+'Saimnieciskas pamatdarbibas NP'!AC93</f>
        <v>121032.168576</v>
      </c>
      <c r="AD285" s="524">
        <f>'Saimnieciskas pamatdarbibas NP'!AD89+'Saimnieciskas pamatdarbibas NP'!AD93</f>
        <v>123782.89968000002</v>
      </c>
      <c r="AE285" s="524">
        <f>'Saimnieciskas pamatdarbibas NP'!AE89+'Saimnieciskas pamatdarbibas NP'!AE93</f>
        <v>126533.63078400001</v>
      </c>
      <c r="AF285" s="524">
        <f>'Saimnieciskas pamatdarbibas NP'!AF89+'Saimnieciskas pamatdarbibas NP'!AF93</f>
        <v>129284.361888</v>
      </c>
      <c r="AG285" s="524">
        <f>'Saimnieciskas pamatdarbibas NP'!AG89+'Saimnieciskas pamatdarbibas NP'!AG93</f>
        <v>132035.09299199999</v>
      </c>
      <c r="AH285" s="524">
        <f>'Saimnieciskas pamatdarbibas NP'!AH89+'Saimnieciskas pamatdarbibas NP'!AH93</f>
        <v>134785.824096</v>
      </c>
      <c r="AK285" s="110"/>
      <c r="AM285" s="110"/>
      <c r="AO285" s="110"/>
      <c r="AQ285" s="110"/>
    </row>
    <row r="286" spans="1:43" x14ac:dyDescent="0.2">
      <c r="A286" s="30" t="s">
        <v>597</v>
      </c>
      <c r="B286" s="524">
        <f>'Saimnieciskas pamatdarbibas NP'!B90+'Saimnieciskas pamatdarbibas NP'!B94</f>
        <v>1986</v>
      </c>
      <c r="C286" s="524">
        <f>'Saimnieciskas pamatdarbibas NP'!C90+'Saimnieciskas pamatdarbibas NP'!C94</f>
        <v>2045.5800000000002</v>
      </c>
      <c r="D286" s="524">
        <f>'Saimnieciskas pamatdarbibas NP'!D90+'Saimnieciskas pamatdarbibas NP'!D94</f>
        <v>2105.16</v>
      </c>
      <c r="E286" s="524">
        <f>'Saimnieciskas pamatdarbibas NP'!E90+'Saimnieciskas pamatdarbibas NP'!E94</f>
        <v>2144.88</v>
      </c>
      <c r="F286" s="524">
        <f>'Saimnieciskas pamatdarbibas NP'!F90+'Saimnieciskas pamatdarbibas NP'!F94</f>
        <v>2184.6000000000004</v>
      </c>
      <c r="G286" s="524">
        <f>'Saimnieciskas pamatdarbibas NP'!G90+'Saimnieciskas pamatdarbibas NP'!G94</f>
        <v>2224.3200000000002</v>
      </c>
      <c r="H286" s="524">
        <f>'Saimnieciskas pamatdarbibas NP'!H90+'Saimnieciskas pamatdarbibas NP'!H94</f>
        <v>2264.04</v>
      </c>
      <c r="I286" s="524">
        <f>'Saimnieciskas pamatdarbibas NP'!I90+'Saimnieciskas pamatdarbibas NP'!I94</f>
        <v>2303.7600000000002</v>
      </c>
      <c r="J286" s="524">
        <f>'Saimnieciskas pamatdarbibas NP'!J90+'Saimnieciskas pamatdarbibas NP'!J94</f>
        <v>2343.4799999999996</v>
      </c>
      <c r="K286" s="524">
        <f>'Saimnieciskas pamatdarbibas NP'!K90+'Saimnieciskas pamatdarbibas NP'!K94</f>
        <v>2383.1999999999998</v>
      </c>
      <c r="L286" s="524">
        <f>'Saimnieciskas pamatdarbibas NP'!L90+'Saimnieciskas pamatdarbibas NP'!L94</f>
        <v>2422.92</v>
      </c>
      <c r="M286" s="524">
        <f>'Saimnieciskas pamatdarbibas NP'!M90+'Saimnieciskas pamatdarbibas NP'!M94</f>
        <v>2462.6400000000003</v>
      </c>
      <c r="N286" s="524">
        <f>'Saimnieciskas pamatdarbibas NP'!N90+'Saimnieciskas pamatdarbibas NP'!N94</f>
        <v>2502.3599999999997</v>
      </c>
      <c r="O286" s="524">
        <f>'Saimnieciskas pamatdarbibas NP'!O90+'Saimnieciskas pamatdarbibas NP'!O94</f>
        <v>2561.94</v>
      </c>
      <c r="P286" s="524">
        <f>'Saimnieciskas pamatdarbibas NP'!P90+'Saimnieciskas pamatdarbibas NP'!P94</f>
        <v>2621.5200000000004</v>
      </c>
      <c r="Q286" s="524">
        <f>'Saimnieciskas pamatdarbibas NP'!Q90+'Saimnieciskas pamatdarbibas NP'!Q94</f>
        <v>2681.1000000000004</v>
      </c>
      <c r="R286" s="524">
        <f>'Saimnieciskas pamatdarbibas NP'!R90+'Saimnieciskas pamatdarbibas NP'!R94</f>
        <v>2740.68</v>
      </c>
      <c r="S286" s="524">
        <f>'Saimnieciskas pamatdarbibas NP'!S90+'Saimnieciskas pamatdarbibas NP'!S94</f>
        <v>2800.26</v>
      </c>
      <c r="T286" s="524">
        <f>'Saimnieciskas pamatdarbibas NP'!T90+'Saimnieciskas pamatdarbibas NP'!T94</f>
        <v>2859.84</v>
      </c>
      <c r="U286" s="524">
        <f>'Saimnieciskas pamatdarbibas NP'!U90+'Saimnieciskas pamatdarbibas NP'!U94</f>
        <v>2919.42</v>
      </c>
      <c r="V286" s="524">
        <f>'Saimnieciskas pamatdarbibas NP'!V90+'Saimnieciskas pamatdarbibas NP'!V94</f>
        <v>2979</v>
      </c>
      <c r="W286" s="524">
        <f>'Saimnieciskas pamatdarbibas NP'!W90+'Saimnieciskas pamatdarbibas NP'!W94</f>
        <v>3038.58</v>
      </c>
      <c r="X286" s="524">
        <f>'Saimnieciskas pamatdarbibas NP'!X90+'Saimnieciskas pamatdarbibas NP'!X94</f>
        <v>3098.16</v>
      </c>
      <c r="Y286" s="524">
        <f>'Saimnieciskas pamatdarbibas NP'!Y90+'Saimnieciskas pamatdarbibas NP'!Y94</f>
        <v>3157.74</v>
      </c>
      <c r="Z286" s="524">
        <f>'Saimnieciskas pamatdarbibas NP'!Z90+'Saimnieciskas pamatdarbibas NP'!Z94</f>
        <v>3217.32</v>
      </c>
      <c r="AA286" s="524">
        <f>'Saimnieciskas pamatdarbibas NP'!AA90+'Saimnieciskas pamatdarbibas NP'!AA94</f>
        <v>3276.8999999999996</v>
      </c>
      <c r="AB286" s="524">
        <f>'Saimnieciskas pamatdarbibas NP'!AB90+'Saimnieciskas pamatdarbibas NP'!AB94</f>
        <v>3336.4799999999996</v>
      </c>
      <c r="AC286" s="524">
        <f>'Saimnieciskas pamatdarbibas NP'!AC90+'Saimnieciskas pamatdarbibas NP'!AC94</f>
        <v>3396.06</v>
      </c>
      <c r="AD286" s="524">
        <f>'Saimnieciskas pamatdarbibas NP'!AD90+'Saimnieciskas pamatdarbibas NP'!AD94</f>
        <v>3455.6400000000003</v>
      </c>
      <c r="AE286" s="524">
        <f>'Saimnieciskas pamatdarbibas NP'!AE90+'Saimnieciskas pamatdarbibas NP'!AE94</f>
        <v>3515.2200000000003</v>
      </c>
      <c r="AF286" s="524">
        <f>'Saimnieciskas pamatdarbibas NP'!AF90+'Saimnieciskas pamatdarbibas NP'!AF94</f>
        <v>3594.66</v>
      </c>
      <c r="AG286" s="524">
        <f>'Saimnieciskas pamatdarbibas NP'!AG90+'Saimnieciskas pamatdarbibas NP'!AG94</f>
        <v>3674.1000000000004</v>
      </c>
      <c r="AH286" s="524">
        <f>'Saimnieciskas pamatdarbibas NP'!AH90+'Saimnieciskas pamatdarbibas NP'!AH94</f>
        <v>3753.54</v>
      </c>
      <c r="AK286" s="110"/>
      <c r="AM286" s="110"/>
      <c r="AO286" s="110"/>
      <c r="AQ286" s="110"/>
    </row>
    <row r="287" spans="1:43" x14ac:dyDescent="0.2">
      <c r="A287" s="523" t="s">
        <v>598</v>
      </c>
      <c r="B287" s="525">
        <f t="shared" ref="B287:AG287" si="129">B265-B276</f>
        <v>196695.9023999999</v>
      </c>
      <c r="C287" s="525">
        <f t="shared" si="129"/>
        <v>236265.79151612998</v>
      </c>
      <c r="D287" s="525">
        <f t="shared" si="129"/>
        <v>307565.91413982038</v>
      </c>
      <c r="E287" s="525">
        <f t="shared" si="129"/>
        <v>346710.7518889223</v>
      </c>
      <c r="F287" s="525">
        <f t="shared" si="129"/>
        <v>347569.75833684707</v>
      </c>
      <c r="G287" s="525">
        <f t="shared" si="129"/>
        <v>348418.98571616225</v>
      </c>
      <c r="H287" s="525">
        <f t="shared" si="129"/>
        <v>349019.68681015237</v>
      </c>
      <c r="I287" s="525">
        <f t="shared" si="129"/>
        <v>349618.77654359594</v>
      </c>
      <c r="J287" s="525">
        <f t="shared" si="129"/>
        <v>354035.95372958155</v>
      </c>
      <c r="K287" s="525">
        <f t="shared" si="129"/>
        <v>354984.60719557083</v>
      </c>
      <c r="L287" s="525">
        <f t="shared" si="129"/>
        <v>355865.74704774038</v>
      </c>
      <c r="M287" s="525">
        <f t="shared" si="129"/>
        <v>356398.46316736424</v>
      </c>
      <c r="N287" s="525">
        <f t="shared" si="129"/>
        <v>350487.5943325737</v>
      </c>
      <c r="O287" s="525">
        <f t="shared" si="129"/>
        <v>322255.05849262851</v>
      </c>
      <c r="P287" s="525">
        <f t="shared" si="129"/>
        <v>322982.76258706697</v>
      </c>
      <c r="Q287" s="525">
        <f t="shared" si="129"/>
        <v>323001.04833204648</v>
      </c>
      <c r="R287" s="525">
        <f t="shared" si="129"/>
        <v>230979.79391251504</v>
      </c>
      <c r="S287" s="525">
        <f t="shared" si="129"/>
        <v>217150.68318606727</v>
      </c>
      <c r="T287" s="525">
        <f t="shared" si="129"/>
        <v>213687.85960595682</v>
      </c>
      <c r="U287" s="525">
        <f t="shared" si="129"/>
        <v>214752.97318839387</v>
      </c>
      <c r="V287" s="525">
        <f t="shared" si="129"/>
        <v>216297.2626873682</v>
      </c>
      <c r="W287" s="525">
        <f t="shared" si="129"/>
        <v>217560.80000235164</v>
      </c>
      <c r="X287" s="525">
        <f t="shared" si="129"/>
        <v>221250.73256078549</v>
      </c>
      <c r="Y287" s="525">
        <f t="shared" si="129"/>
        <v>222514.26987576834</v>
      </c>
      <c r="Z287" s="525">
        <f t="shared" si="129"/>
        <v>223429.3834582055</v>
      </c>
      <c r="AA287" s="525">
        <f t="shared" si="129"/>
        <v>224692.92077318835</v>
      </c>
      <c r="AB287" s="525">
        <f t="shared" si="129"/>
        <v>225887.37311380589</v>
      </c>
      <c r="AC287" s="525">
        <f t="shared" si="129"/>
        <v>229302.89587492845</v>
      </c>
      <c r="AD287" s="525">
        <f t="shared" si="129"/>
        <v>244991.29843893088</v>
      </c>
      <c r="AE287" s="525">
        <f t="shared" si="129"/>
        <v>246258.43637209199</v>
      </c>
      <c r="AF287" s="525">
        <f t="shared" si="129"/>
        <v>238630.53098933352</v>
      </c>
      <c r="AG287" s="525">
        <f t="shared" si="129"/>
        <v>240063.21401330782</v>
      </c>
      <c r="AH287" s="525">
        <f>AH265-AH276</f>
        <v>241495.89703728212</v>
      </c>
      <c r="AK287" s="110"/>
      <c r="AM287" s="110"/>
      <c r="AO287" s="110"/>
      <c r="AQ287" s="110"/>
    </row>
    <row r="288" spans="1:43" x14ac:dyDescent="0.2">
      <c r="A288" s="30" t="s">
        <v>599</v>
      </c>
      <c r="B288" s="524">
        <f t="shared" ref="B288:AH288" si="130">B257</f>
        <v>1242.5840000000001</v>
      </c>
      <c r="C288" s="524">
        <f t="shared" si="130"/>
        <v>1242.5840000000001</v>
      </c>
      <c r="D288" s="524">
        <f t="shared" si="130"/>
        <v>1699.9950000000001</v>
      </c>
      <c r="E288" s="524">
        <f t="shared" si="130"/>
        <v>2897.0786499999999</v>
      </c>
      <c r="F288" s="524">
        <f t="shared" si="130"/>
        <v>2857.1758616666666</v>
      </c>
      <c r="G288" s="524">
        <f t="shared" si="130"/>
        <v>2817.2730733333333</v>
      </c>
      <c r="H288" s="524">
        <f t="shared" si="130"/>
        <v>2777.3702849999995</v>
      </c>
      <c r="I288" s="524">
        <f t="shared" si="130"/>
        <v>2737.4674966666662</v>
      </c>
      <c r="J288" s="524">
        <f t="shared" si="130"/>
        <v>2697.5647083333329</v>
      </c>
      <c r="K288" s="524">
        <f t="shared" si="130"/>
        <v>2657.6619199999991</v>
      </c>
      <c r="L288" s="524">
        <f t="shared" si="130"/>
        <v>2617.7591316666658</v>
      </c>
      <c r="M288" s="524">
        <f t="shared" si="130"/>
        <v>2577.8563433333325</v>
      </c>
      <c r="N288" s="524">
        <f t="shared" si="130"/>
        <v>2537.9535549999991</v>
      </c>
      <c r="O288" s="524">
        <f t="shared" si="130"/>
        <v>2498.0507666666654</v>
      </c>
      <c r="P288" s="524">
        <f t="shared" si="130"/>
        <v>2458.147978333332</v>
      </c>
      <c r="Q288" s="524">
        <f t="shared" si="130"/>
        <v>2418.2451899999987</v>
      </c>
      <c r="R288" s="524">
        <f t="shared" si="130"/>
        <v>2378.342401666665</v>
      </c>
      <c r="S288" s="524">
        <f t="shared" si="130"/>
        <v>2338.4396133333316</v>
      </c>
      <c r="T288" s="524">
        <f t="shared" si="130"/>
        <v>2298.5368249999983</v>
      </c>
      <c r="U288" s="524">
        <f t="shared" si="130"/>
        <v>2258.634036666665</v>
      </c>
      <c r="V288" s="524">
        <f t="shared" si="130"/>
        <v>2218.7312483333312</v>
      </c>
      <c r="W288" s="524">
        <f t="shared" si="130"/>
        <v>2178.8284599999979</v>
      </c>
      <c r="X288" s="524">
        <f t="shared" si="130"/>
        <v>2138.9256716666646</v>
      </c>
      <c r="Y288" s="524">
        <f t="shared" si="130"/>
        <v>2099.0228833333308</v>
      </c>
      <c r="Z288" s="524">
        <f t="shared" si="130"/>
        <v>2059.1200949999975</v>
      </c>
      <c r="AA288" s="524">
        <f t="shared" si="130"/>
        <v>2019.2173066666642</v>
      </c>
      <c r="AB288" s="524">
        <f t="shared" si="130"/>
        <v>1979.3145183333306</v>
      </c>
      <c r="AC288" s="524">
        <f t="shared" si="130"/>
        <v>1939.4117299999973</v>
      </c>
      <c r="AD288" s="524">
        <f t="shared" si="130"/>
        <v>1899.5089416666638</v>
      </c>
      <c r="AE288" s="524">
        <f t="shared" si="130"/>
        <v>1859.6061533333304</v>
      </c>
      <c r="AF288" s="524">
        <f t="shared" si="130"/>
        <v>1819.7033649999969</v>
      </c>
      <c r="AG288" s="524">
        <f t="shared" si="130"/>
        <v>1779.8005766666633</v>
      </c>
      <c r="AH288" s="524">
        <f t="shared" si="130"/>
        <v>1739.89778833333</v>
      </c>
      <c r="AK288" s="110"/>
      <c r="AM288" s="110"/>
      <c r="AO288" s="110"/>
      <c r="AQ288" s="110"/>
    </row>
    <row r="289" spans="1:47" x14ac:dyDescent="0.2">
      <c r="A289" s="30" t="s">
        <v>226</v>
      </c>
      <c r="B289" s="524">
        <f>Aprēķini!B78+Aprēķini!B84+Aprēķini!B90+Aprēķini!B20+Aprēķini!B21+Aprēķini!B22+Aprēķini!B23+Aprēķini!B25+Aprēķini!B26+Aprēķini!B27+Aprēķini!B28</f>
        <v>252578</v>
      </c>
      <c r="C289" s="524">
        <f>Aprēķini!C78+Aprēķini!C84+Aprēķini!C90+Aprēķini!C20+Aprēķini!C21+Aprēķini!C22+Aprēķini!C23+Aprēķini!C25+Aprēķini!C26+Aprēķini!C27+Aprēķini!C28</f>
        <v>252578</v>
      </c>
      <c r="D289" s="524">
        <f>Aprēķini!D78+Aprēķini!D84+Aprēķini!D90+Aprēķini!D20+Aprēķini!D21+Aprēķini!D22+Aprēķini!D23+Aprēķini!D25+Aprēķini!D26+Aprēķini!D27+Aprēķini!D28</f>
        <v>279866.96880000003</v>
      </c>
      <c r="E289" s="524">
        <f>Aprēķini!E78+Aprēķini!E84+Aprēķini!E90+Aprēķini!E20+Aprēķini!E21+Aprēķini!E22+Aprēķini!E23+Aprēķini!E25+Aprēķini!E26+Aprēķini!E27+Aprēķini!E28</f>
        <v>289027.05180000002</v>
      </c>
      <c r="F289" s="524">
        <f>Aprēķini!F78+Aprēķini!F84+Aprēķini!F90+Aprēķini!F20+Aprēķini!F21+Aprēķini!F22+Aprēķini!F23+Aprēķini!F25+Aprēķini!F26+Aprēķini!F27+Aprēķini!F28</f>
        <v>289027.05180000002</v>
      </c>
      <c r="G289" s="524">
        <f>Aprēķini!G78+Aprēķini!G84+Aprēķini!G90+Aprēķini!G20+Aprēķini!G21+Aprēķini!G22+Aprēķini!G23+Aprēķini!G25+Aprēķini!G26+Aprēķini!G27+Aprēķini!G28</f>
        <v>289027.05180000002</v>
      </c>
      <c r="H289" s="524">
        <f>Aprēķini!H78+Aprēķini!H84+Aprēķini!H90+Aprēķini!H20+Aprēķini!H21+Aprēķini!H22+Aprēķini!H23+Aprēķini!H25+Aprēķini!H26+Aprēķini!H27+Aprēķini!H28</f>
        <v>289027.05180000002</v>
      </c>
      <c r="I289" s="524">
        <f>Aprēķini!I78+Aprēķini!I84+Aprēķini!I90+Aprēķini!I20+Aprēķini!I21+Aprēķini!I22+Aprēķini!I23+Aprēķini!I25+Aprēķini!I26+Aprēķini!I27+Aprēķini!I28</f>
        <v>289027.05180000002</v>
      </c>
      <c r="J289" s="524">
        <f>Aprēķini!J78+Aprēķini!J84+Aprēķini!J90+Aprēķini!J20+Aprēķini!J21+Aprēķini!J22+Aprēķini!J23+Aprēķini!J25+Aprēķini!J26+Aprēķini!J27+Aprēķini!J28</f>
        <v>289027.05180000002</v>
      </c>
      <c r="K289" s="524">
        <f>Aprēķini!K78+Aprēķini!K84+Aprēķini!K90+Aprēķini!K20+Aprēķini!K21+Aprēķini!K22+Aprēķini!K23+Aprēķini!K25+Aprēķini!K26+Aprēķini!K27+Aprēķini!K28</f>
        <v>289027.05180000002</v>
      </c>
      <c r="L289" s="524">
        <f>Aprēķini!L78+Aprēķini!L84+Aprēķini!L90+Aprēķini!L20+Aprēķini!L21+Aprēķini!L22+Aprēķini!L23+Aprēķini!L25+Aprēķini!L26+Aprēķini!L27+Aprēķini!L28</f>
        <v>289027.05180000002</v>
      </c>
      <c r="M289" s="524">
        <f>Aprēķini!M78+Aprēķini!M84+Aprēķini!M90+Aprēķini!M20+Aprēķini!M21+Aprēķini!M22+Aprēķini!M23+Aprēķini!M25+Aprēķini!M26+Aprēķini!M27+Aprēķini!M28</f>
        <v>289027.05180000002</v>
      </c>
      <c r="N289" s="524">
        <f>Aprēķini!N78+Aprēķini!N84+Aprēķini!N90+Aprēķini!N20+Aprēķini!N21+Aprēķini!N22+Aprēķini!N23+Aprēķini!N25+Aprēķini!N26+Aprēķini!N27+Aprēķini!N28</f>
        <v>282884.05180000002</v>
      </c>
      <c r="O289" s="524">
        <f>Aprēķini!O78+Aprēķini!O84+Aprēķini!O90+Aprēķini!O20+Aprēķini!O21+Aprēķini!O22+Aprēķini!O23+Aprēķini!O25+Aprēķini!O26+Aprēķini!O27+Aprēķini!O28</f>
        <v>255685.9688</v>
      </c>
      <c r="P289" s="524">
        <f>Aprēķini!P78+Aprēķini!P84+Aprēķini!P90+Aprēķini!P20+Aprēķini!P21+Aprēķini!P22+Aprēķini!P23+Aprēķini!P25+Aprēķini!P26+Aprēķini!P27+Aprēķini!P28</f>
        <v>255568.9688</v>
      </c>
      <c r="Q289" s="524">
        <f>Aprēķini!Q78+Aprēķini!Q84+Aprēķini!Q90+Aprēķini!Q20+Aprēķini!Q21+Aprēķini!Q22+Aprēķini!Q23+Aprēķini!Q25+Aprēķini!Q26+Aprēķini!Q27+Aprēķini!Q28</f>
        <v>252194.9688</v>
      </c>
      <c r="R289" s="524">
        <f>Aprēķini!R78+Aprēķini!R84+Aprēķini!R90+Aprēķini!R20+Aprēķini!R21+Aprēķini!R22+Aprēķini!R23+Aprēķini!R25+Aprēķini!R26+Aprēķini!R27+Aprēķini!R28</f>
        <v>161716.9688</v>
      </c>
      <c r="S289" s="524">
        <f>Aprēķini!S78+Aprēķini!S84+Aprēķini!S90+Aprēķini!S20+Aprēķini!S21+Aprēķini!S22+Aprēķini!S23+Aprēķini!S25+Aprēķini!S26+Aprēķini!S27+Aprēķini!S28</f>
        <v>143384.9688</v>
      </c>
      <c r="T289" s="524">
        <f>Aprēķini!T78+Aprēķini!T84+Aprēķini!T90+Aprēķini!T20+Aprēķini!T21+Aprēķini!T22+Aprēķini!T23+Aprēķini!T25+Aprēķini!T26+Aprēķini!T27+Aprēķini!T28</f>
        <v>143384.9688</v>
      </c>
      <c r="U289" s="524">
        <f>Aprēķini!U78+Aprēķini!U84+Aprēķini!U90+Aprēķini!U20+Aprēķini!U21+Aprēķini!U22+Aprēķini!U23+Aprēķini!U25+Aprēķini!U26+Aprēķini!U27+Aprēķini!U28</f>
        <v>143384.9688</v>
      </c>
      <c r="V289" s="524">
        <f>Aprēķini!V78+Aprēķini!V84+Aprēķini!V90+Aprēķini!V20+Aprēķini!V21+Aprēķini!V22+Aprēķini!V23+Aprēķini!V25+Aprēķini!V26+Aprēķini!V27+Aprēķini!V28</f>
        <v>143384.9688</v>
      </c>
      <c r="W289" s="524">
        <f>Aprēķini!W78+Aprēķini!W84+Aprēķini!W90+Aprēķini!W20+Aprēķini!W21+Aprēķini!W22+Aprēķini!W23+Aprēķini!W25+Aprēķini!W26+Aprēķini!W27+Aprēķini!W28</f>
        <v>143384.9688</v>
      </c>
      <c r="X289" s="524">
        <f>Aprēķini!X78+Aprēķini!X84+Aprēķini!X90+Aprēķini!X20+Aprēķini!X21+Aprēķini!X22+Aprēķini!X23+Aprēķini!X25+Aprēķini!X26+Aprēķini!X27+Aprēķini!X28</f>
        <v>143384.9688</v>
      </c>
      <c r="Y289" s="524">
        <f>Aprēķini!Y78+Aprēķini!Y84+Aprēķini!Y90+Aprēķini!Y20+Aprēķini!Y21+Aprēķini!Y22+Aprēķini!Y23+Aprēķini!Y25+Aprēķini!Y26+Aprēķini!Y27+Aprēķini!Y28</f>
        <v>143384.9688</v>
      </c>
      <c r="Z289" s="524">
        <f>Aprēķini!Z78+Aprēķini!Z84+Aprēķini!Z90+Aprēķini!Z20+Aprēķini!Z21+Aprēķini!Z22+Aprēķini!Z23+Aprēķini!Z25+Aprēķini!Z26+Aprēķini!Z27+Aprēķini!Z28</f>
        <v>143384.9688</v>
      </c>
      <c r="AA289" s="524">
        <f>Aprēķini!AA78+Aprēķini!AA84+Aprēķini!AA90+Aprēķini!AA20+Aprēķini!AA21+Aprēķini!AA22+Aprēķini!AA23+Aprēķini!AA25+Aprēķini!AA26+Aprēķini!AA27+Aprēķini!AA28</f>
        <v>143384.9688</v>
      </c>
      <c r="AB289" s="524">
        <f>Aprēķini!AB78+Aprēķini!AB84+Aprēķini!AB90+Aprēķini!AB20+Aprēķini!AB21+Aprēķini!AB22+Aprēķini!AB23+Aprēķini!AB25+Aprēķini!AB26+Aprēķini!AB27+Aprēķini!AB28</f>
        <v>143384.9688</v>
      </c>
      <c r="AC289" s="524">
        <f>Aprēķini!AC78+Aprēķini!AC84+Aprēķini!AC90+Aprēķini!AC20+Aprēķini!AC21+Aprēķini!AC22+Aprēķini!AC23+Aprēķini!AC25+Aprēķini!AC26+Aprēķini!AC27+Aprēķini!AC28</f>
        <v>143384.9688</v>
      </c>
      <c r="AD289" s="524">
        <f>Aprēķini!AD78+Aprēķini!AD84+Aprēķini!AD90+Aprēķini!AD20+Aprēķini!AD21+Aprēķini!AD22+Aprēķini!AD23+Aprēķini!AD25+Aprēķini!AD26+Aprēķini!AD27+Aprēķini!AD28</f>
        <v>143384.9688</v>
      </c>
      <c r="AE289" s="524">
        <f>Aprēķini!AE78+Aprēķini!AE84+Aprēķini!AE90+Aprēķini!AE20+Aprēķini!AE21+Aprēķini!AE22+Aprēķini!AE23+Aprēķini!AE25+Aprēķini!AE26+Aprēķini!AE27+Aprēķini!AE28</f>
        <v>143384.9688</v>
      </c>
      <c r="AF289" s="524">
        <f>Aprēķini!AF78+Aprēķini!AF84+Aprēķini!AF90+Aprēķini!AF20+Aprēķini!AF21+Aprēķini!AF22+Aprēķini!AF23+Aprēķini!AF25+Aprēķini!AF26+Aprēķini!AF27+Aprēķini!AF28</f>
        <v>143384.9688</v>
      </c>
      <c r="AG289" s="524">
        <f>Aprēķini!AG78+Aprēķini!AG84+Aprēķini!AG90+Aprēķini!AG20+Aprēķini!AG21+Aprēķini!AG22+Aprēķini!AG23+Aprēķini!AG25+Aprēķini!AG26+Aprēķini!AG27+Aprēķini!AG28</f>
        <v>143384.9688</v>
      </c>
      <c r="AH289" s="524">
        <f>Aprēķini!AH78+Aprēķini!AH84+Aprēķini!AH90+Aprēķini!AH20+Aprēķini!AH21+Aprēķini!AH22+Aprēķini!AH23+Aprēķini!AH25+Aprēķini!AH26+Aprēķini!AH27+Aprēķini!AH28</f>
        <v>143384.9688</v>
      </c>
      <c r="AK289" s="110"/>
      <c r="AM289" s="110"/>
      <c r="AO289" s="110"/>
      <c r="AQ289" s="110"/>
    </row>
    <row r="290" spans="1:47" x14ac:dyDescent="0.2">
      <c r="A290" s="523" t="s">
        <v>600</v>
      </c>
      <c r="B290" s="525">
        <f t="shared" ref="B290:AG290" si="131">B287-B288-B289</f>
        <v>-57124.681600000098</v>
      </c>
      <c r="C290" s="525">
        <f t="shared" si="131"/>
        <v>-17554.792483870027</v>
      </c>
      <c r="D290" s="525">
        <f t="shared" si="131"/>
        <v>25998.950339820352</v>
      </c>
      <c r="E290" s="525">
        <f t="shared" si="131"/>
        <v>54786.621438922302</v>
      </c>
      <c r="F290" s="525">
        <f t="shared" si="131"/>
        <v>55685.530675180373</v>
      </c>
      <c r="G290" s="525">
        <f t="shared" si="131"/>
        <v>56574.660842828918</v>
      </c>
      <c r="H290" s="525">
        <f t="shared" si="131"/>
        <v>57215.264725152345</v>
      </c>
      <c r="I290" s="525">
        <f t="shared" si="131"/>
        <v>57854.257246929279</v>
      </c>
      <c r="J290" s="525">
        <f t="shared" si="131"/>
        <v>62311.337221248192</v>
      </c>
      <c r="K290" s="525">
        <f t="shared" si="131"/>
        <v>63299.893475570832</v>
      </c>
      <c r="L290" s="525">
        <f t="shared" si="131"/>
        <v>64220.936116073688</v>
      </c>
      <c r="M290" s="525">
        <f t="shared" si="131"/>
        <v>64793.555024030909</v>
      </c>
      <c r="N290" s="525">
        <f t="shared" si="131"/>
        <v>65065.588977573672</v>
      </c>
      <c r="O290" s="525">
        <f t="shared" si="131"/>
        <v>64071.038925961853</v>
      </c>
      <c r="P290" s="525">
        <f t="shared" si="131"/>
        <v>64955.645808733621</v>
      </c>
      <c r="Q290" s="525">
        <f t="shared" si="131"/>
        <v>68387.834342046495</v>
      </c>
      <c r="R290" s="525">
        <f t="shared" si="131"/>
        <v>66884.482710848388</v>
      </c>
      <c r="S290" s="525">
        <f t="shared" si="131"/>
        <v>71427.274772733945</v>
      </c>
      <c r="T290" s="525">
        <f t="shared" si="131"/>
        <v>68004.353980956832</v>
      </c>
      <c r="U290" s="525">
        <f t="shared" si="131"/>
        <v>69109.370351727208</v>
      </c>
      <c r="V290" s="525">
        <f t="shared" si="131"/>
        <v>70693.562639034877</v>
      </c>
      <c r="W290" s="525">
        <f t="shared" si="131"/>
        <v>71997.002742351644</v>
      </c>
      <c r="X290" s="525">
        <f t="shared" si="131"/>
        <v>75726.838089118828</v>
      </c>
      <c r="Y290" s="525">
        <f t="shared" si="131"/>
        <v>77030.278192435013</v>
      </c>
      <c r="Z290" s="525">
        <f t="shared" si="131"/>
        <v>77985.294563205505</v>
      </c>
      <c r="AA290" s="525">
        <f t="shared" si="131"/>
        <v>79288.73466652169</v>
      </c>
      <c r="AB290" s="525">
        <f t="shared" si="131"/>
        <v>80523.089795472566</v>
      </c>
      <c r="AC290" s="525">
        <f t="shared" si="131"/>
        <v>83978.515344928455</v>
      </c>
      <c r="AD290" s="525">
        <f t="shared" si="131"/>
        <v>99706.820697264222</v>
      </c>
      <c r="AE290" s="525">
        <f t="shared" si="131"/>
        <v>101013.86141875866</v>
      </c>
      <c r="AF290" s="525">
        <f t="shared" si="131"/>
        <v>93425.858824333525</v>
      </c>
      <c r="AG290" s="525">
        <f t="shared" si="131"/>
        <v>94898.444636641158</v>
      </c>
      <c r="AH290" s="525">
        <f>AH287-AH288-AH289</f>
        <v>96371.03044894879</v>
      </c>
      <c r="AK290" s="110"/>
      <c r="AM290" s="110"/>
      <c r="AO290" s="110"/>
      <c r="AQ290" s="110"/>
    </row>
    <row r="291" spans="1:47" x14ac:dyDescent="0.2">
      <c r="B291" s="110"/>
      <c r="C291" s="110"/>
      <c r="D291" s="110"/>
      <c r="E291" s="110"/>
      <c r="F291" s="110"/>
      <c r="G291" s="110"/>
      <c r="H291" s="110"/>
      <c r="I291" s="110"/>
      <c r="J291" s="110"/>
      <c r="K291" s="110"/>
      <c r="L291" s="110"/>
      <c r="M291" s="110"/>
      <c r="N291" s="110"/>
      <c r="O291" s="110"/>
      <c r="P291" s="110"/>
      <c r="Q291" s="110"/>
      <c r="R291" s="110"/>
      <c r="S291" s="110"/>
      <c r="T291" s="110"/>
      <c r="U291" s="110"/>
      <c r="V291" s="110"/>
      <c r="W291" s="110"/>
      <c r="X291" s="110"/>
      <c r="Y291" s="110"/>
      <c r="Z291" s="110"/>
      <c r="AA291" s="110"/>
      <c r="AB291" s="110"/>
      <c r="AC291" s="110"/>
      <c r="AD291" s="110"/>
      <c r="AE291" s="110"/>
      <c r="AF291" s="110"/>
      <c r="AG291" s="110"/>
      <c r="AH291" s="110"/>
      <c r="AK291" s="110"/>
      <c r="AM291" s="110"/>
      <c r="AO291" s="110"/>
      <c r="AQ291" s="110"/>
    </row>
    <row r="292" spans="1:47" x14ac:dyDescent="0.2">
      <c r="B292" s="110"/>
      <c r="C292" s="110"/>
      <c r="D292" s="110"/>
      <c r="E292" s="110"/>
      <c r="F292" s="110"/>
      <c r="G292" s="110"/>
      <c r="H292" s="110"/>
      <c r="I292" s="110"/>
      <c r="J292" s="110"/>
      <c r="K292" s="110"/>
      <c r="L292" s="110"/>
      <c r="M292" s="110"/>
      <c r="N292" s="110"/>
      <c r="O292" s="110"/>
      <c r="P292" s="110"/>
      <c r="Q292" s="110"/>
      <c r="R292" s="110"/>
      <c r="S292" s="110"/>
      <c r="T292" s="110"/>
      <c r="U292" s="110"/>
      <c r="V292" s="110"/>
      <c r="W292" s="110"/>
      <c r="X292" s="110"/>
      <c r="Y292" s="110"/>
      <c r="Z292" s="110"/>
      <c r="AA292" s="110"/>
      <c r="AB292" s="110"/>
      <c r="AC292" s="110"/>
      <c r="AD292" s="110"/>
      <c r="AE292" s="110"/>
      <c r="AF292" s="110"/>
      <c r="AG292" s="110"/>
      <c r="AH292" s="110"/>
      <c r="AK292" s="110"/>
      <c r="AM292" s="110"/>
      <c r="AO292" s="110"/>
      <c r="AQ292" s="110"/>
    </row>
    <row r="293" spans="1:47" ht="15" x14ac:dyDescent="0.2">
      <c r="A293" s="428" t="s">
        <v>601</v>
      </c>
      <c r="AK293" s="110"/>
      <c r="AM293" s="110"/>
      <c r="AO293" s="110"/>
      <c r="AQ293" s="110"/>
    </row>
    <row r="294" spans="1:47" x14ac:dyDescent="0.2">
      <c r="A294" s="30"/>
      <c r="B294" s="522">
        <f>Aprēķini!B6</f>
        <v>2017</v>
      </c>
      <c r="C294" s="522">
        <f t="shared" ref="C294:AG294" si="132">B294+1</f>
        <v>2018</v>
      </c>
      <c r="D294" s="522">
        <f t="shared" si="132"/>
        <v>2019</v>
      </c>
      <c r="E294" s="522">
        <f t="shared" si="132"/>
        <v>2020</v>
      </c>
      <c r="F294" s="522">
        <f t="shared" si="132"/>
        <v>2021</v>
      </c>
      <c r="G294" s="522">
        <f t="shared" si="132"/>
        <v>2022</v>
      </c>
      <c r="H294" s="522">
        <f t="shared" si="132"/>
        <v>2023</v>
      </c>
      <c r="I294" s="522">
        <f t="shared" si="132"/>
        <v>2024</v>
      </c>
      <c r="J294" s="522">
        <f t="shared" si="132"/>
        <v>2025</v>
      </c>
      <c r="K294" s="522">
        <f t="shared" si="132"/>
        <v>2026</v>
      </c>
      <c r="L294" s="522">
        <f t="shared" si="132"/>
        <v>2027</v>
      </c>
      <c r="M294" s="522">
        <f t="shared" si="132"/>
        <v>2028</v>
      </c>
      <c r="N294" s="522">
        <f t="shared" si="132"/>
        <v>2029</v>
      </c>
      <c r="O294" s="522">
        <f t="shared" si="132"/>
        <v>2030</v>
      </c>
      <c r="P294" s="522">
        <f t="shared" si="132"/>
        <v>2031</v>
      </c>
      <c r="Q294" s="522">
        <f t="shared" si="132"/>
        <v>2032</v>
      </c>
      <c r="R294" s="522">
        <f t="shared" si="132"/>
        <v>2033</v>
      </c>
      <c r="S294" s="522">
        <f t="shared" si="132"/>
        <v>2034</v>
      </c>
      <c r="T294" s="522">
        <f t="shared" si="132"/>
        <v>2035</v>
      </c>
      <c r="U294" s="522">
        <f t="shared" si="132"/>
        <v>2036</v>
      </c>
      <c r="V294" s="522">
        <f t="shared" si="132"/>
        <v>2037</v>
      </c>
      <c r="W294" s="522">
        <f t="shared" si="132"/>
        <v>2038</v>
      </c>
      <c r="X294" s="522">
        <f t="shared" si="132"/>
        <v>2039</v>
      </c>
      <c r="Y294" s="522">
        <f t="shared" si="132"/>
        <v>2040</v>
      </c>
      <c r="Z294" s="522">
        <f t="shared" si="132"/>
        <v>2041</v>
      </c>
      <c r="AA294" s="522">
        <f t="shared" si="132"/>
        <v>2042</v>
      </c>
      <c r="AB294" s="522">
        <f t="shared" si="132"/>
        <v>2043</v>
      </c>
      <c r="AC294" s="522">
        <f t="shared" si="132"/>
        <v>2044</v>
      </c>
      <c r="AD294" s="522">
        <f t="shared" si="132"/>
        <v>2045</v>
      </c>
      <c r="AE294" s="522">
        <f t="shared" si="132"/>
        <v>2046</v>
      </c>
      <c r="AF294" s="522">
        <f t="shared" si="132"/>
        <v>2047</v>
      </c>
      <c r="AG294" s="522">
        <f t="shared" si="132"/>
        <v>2048</v>
      </c>
      <c r="AH294" s="522">
        <f>AG294+1</f>
        <v>2049</v>
      </c>
      <c r="AK294" s="110"/>
      <c r="AM294" s="110"/>
      <c r="AO294" s="110"/>
      <c r="AQ294" s="110"/>
    </row>
    <row r="295" spans="1:47" x14ac:dyDescent="0.2">
      <c r="A295" s="628" t="s">
        <v>602</v>
      </c>
      <c r="B295" s="622"/>
      <c r="C295" s="622"/>
      <c r="D295" s="622"/>
      <c r="E295" s="622"/>
      <c r="F295" s="622"/>
      <c r="G295" s="622"/>
      <c r="H295" s="622"/>
      <c r="I295" s="622"/>
      <c r="J295" s="622"/>
      <c r="K295" s="622"/>
      <c r="L295" s="622"/>
      <c r="M295" s="622"/>
      <c r="N295" s="622"/>
      <c r="O295" s="622"/>
      <c r="P295" s="622"/>
      <c r="Q295" s="622"/>
      <c r="R295" s="622"/>
      <c r="S295" s="622"/>
      <c r="T295" s="622"/>
      <c r="U295" s="622"/>
      <c r="V295" s="622"/>
      <c r="W295" s="622"/>
      <c r="X295" s="622"/>
      <c r="Y295" s="622"/>
      <c r="Z295" s="622"/>
      <c r="AA295" s="622"/>
      <c r="AB295" s="622"/>
      <c r="AC295" s="622"/>
      <c r="AD295" s="622"/>
      <c r="AE295" s="622"/>
      <c r="AF295" s="622"/>
      <c r="AG295" s="622"/>
      <c r="AH295" s="622"/>
      <c r="AK295" s="110"/>
      <c r="AM295" s="110"/>
      <c r="AO295" s="110"/>
      <c r="AQ295" s="110"/>
    </row>
    <row r="296" spans="1:47" x14ac:dyDescent="0.2">
      <c r="A296" s="523" t="s">
        <v>603</v>
      </c>
      <c r="B296" s="525">
        <f t="shared" ref="B296:AG296" si="133">SUM(B297:B299)</f>
        <v>7478018.0300000003</v>
      </c>
      <c r="C296" s="525">
        <f t="shared" si="133"/>
        <v>8123520.8300000001</v>
      </c>
      <c r="D296" s="525">
        <f t="shared" si="133"/>
        <v>7819357.8300000001</v>
      </c>
      <c r="E296" s="525">
        <f t="shared" si="133"/>
        <v>7530331.7469999995</v>
      </c>
      <c r="F296" s="525">
        <f t="shared" si="133"/>
        <v>7241304.6639999999</v>
      </c>
      <c r="G296" s="525">
        <f t="shared" si="133"/>
        <v>6952277.5810000002</v>
      </c>
      <c r="H296" s="525">
        <f>SUM(H297:H299)</f>
        <v>6663250.4979999997</v>
      </c>
      <c r="I296" s="525">
        <f>SUM(I297:I299)</f>
        <v>6374223.415</v>
      </c>
      <c r="J296" s="525">
        <f>SUM(J297:J299)</f>
        <v>6085196.3320000004</v>
      </c>
      <c r="K296" s="525">
        <f>SUM(K297:K299)</f>
        <v>5796169.2489999998</v>
      </c>
      <c r="L296" s="525">
        <f t="shared" si="133"/>
        <v>5507142.1660000002</v>
      </c>
      <c r="M296" s="525">
        <f t="shared" si="133"/>
        <v>5218115.0829999996</v>
      </c>
      <c r="N296" s="525">
        <f t="shared" si="133"/>
        <v>4935231</v>
      </c>
      <c r="O296" s="525">
        <f t="shared" si="133"/>
        <v>4679545</v>
      </c>
      <c r="P296" s="525">
        <f t="shared" si="133"/>
        <v>4423976</v>
      </c>
      <c r="Q296" s="525">
        <f t="shared" si="133"/>
        <v>4171781</v>
      </c>
      <c r="R296" s="525">
        <f t="shared" si="133"/>
        <v>4010064</v>
      </c>
      <c r="S296" s="525">
        <f t="shared" si="133"/>
        <v>3866679</v>
      </c>
      <c r="T296" s="525">
        <f t="shared" si="133"/>
        <v>3723294</v>
      </c>
      <c r="U296" s="525">
        <f t="shared" si="133"/>
        <v>3579909</v>
      </c>
      <c r="V296" s="525">
        <f t="shared" si="133"/>
        <v>3436524</v>
      </c>
      <c r="W296" s="525">
        <f t="shared" si="133"/>
        <v>3293139</v>
      </c>
      <c r="X296" s="525">
        <f t="shared" si="133"/>
        <v>3149754</v>
      </c>
      <c r="Y296" s="525">
        <f t="shared" si="133"/>
        <v>3006369</v>
      </c>
      <c r="Z296" s="525">
        <f t="shared" si="133"/>
        <v>2862984</v>
      </c>
      <c r="AA296" s="525">
        <f t="shared" si="133"/>
        <v>2719599</v>
      </c>
      <c r="AB296" s="525">
        <f t="shared" si="133"/>
        <v>2576214</v>
      </c>
      <c r="AC296" s="525">
        <f t="shared" si="133"/>
        <v>2432829</v>
      </c>
      <c r="AD296" s="525">
        <f t="shared" si="133"/>
        <v>2289444</v>
      </c>
      <c r="AE296" s="525">
        <f t="shared" si="133"/>
        <v>2146059</v>
      </c>
      <c r="AF296" s="525">
        <f t="shared" si="133"/>
        <v>2002674</v>
      </c>
      <c r="AG296" s="525">
        <f t="shared" si="133"/>
        <v>1859289</v>
      </c>
      <c r="AH296" s="525">
        <f>SUM(AH297:AH299)</f>
        <v>1715904</v>
      </c>
      <c r="AK296" s="110"/>
      <c r="AM296" s="110"/>
      <c r="AO296" s="110"/>
      <c r="AQ296" s="110"/>
      <c r="AT296" s="300"/>
      <c r="AU296" s="300"/>
    </row>
    <row r="297" spans="1:47" x14ac:dyDescent="0.2">
      <c r="A297" s="30" t="s">
        <v>604</v>
      </c>
      <c r="B297" s="524">
        <f>Aprēķini!B80+Aprēķini!B9+Aprēķini!B14</f>
        <v>5452954</v>
      </c>
      <c r="C297" s="524">
        <f>Aprēķini!C80+Aprēķini!C9+Aprēķini!C14</f>
        <v>6197134</v>
      </c>
      <c r="D297" s="524">
        <f>Aprēķini!D80+Aprēķini!D9+Aprēķini!D14</f>
        <v>6017453</v>
      </c>
      <c r="E297" s="524">
        <f>Aprēķini!E80+Aprēķini!E9+Aprēķini!E14</f>
        <v>5874069</v>
      </c>
      <c r="F297" s="524">
        <f>Aprēķini!F80+Aprēķini!F9+Aprēķini!F14</f>
        <v>5730684</v>
      </c>
      <c r="G297" s="524">
        <f>Aprēķini!G80+Aprēķini!G9+Aprēķini!G14</f>
        <v>5587299</v>
      </c>
      <c r="H297" s="524">
        <f>Aprēķini!H80+Aprēķini!H9+Aprēķini!H14</f>
        <v>5443914</v>
      </c>
      <c r="I297" s="524">
        <f>Aprēķini!I80+Aprēķini!I9+Aprēķini!I14</f>
        <v>5300529</v>
      </c>
      <c r="J297" s="524">
        <f>Aprēķini!J80+Aprēķini!J9+Aprēķini!J14</f>
        <v>5157144</v>
      </c>
      <c r="K297" s="524">
        <f>Aprēķini!K80+Aprēķini!K9+Aprēķini!K14</f>
        <v>5013759</v>
      </c>
      <c r="L297" s="524">
        <f>Aprēķini!L80+Aprēķini!L9+Aprēķini!L14</f>
        <v>4870374</v>
      </c>
      <c r="M297" s="524">
        <f>Aprēķini!M80+Aprēķini!M9+Aprēķini!M14</f>
        <v>4726989</v>
      </c>
      <c r="N297" s="524">
        <f>Aprēķini!N80+Aprēķini!N9+Aprēķini!N14</f>
        <v>4583604</v>
      </c>
      <c r="O297" s="524">
        <f>Aprēķini!O80+Aprēķini!O9+Aprēķini!O14</f>
        <v>4440219</v>
      </c>
      <c r="P297" s="524">
        <f>Aprēķini!P80+Aprēķini!P9+Aprēķini!P14</f>
        <v>4296834</v>
      </c>
      <c r="Q297" s="524">
        <f>Aprēķini!Q80+Aprēķini!Q9+Aprēķini!Q14</f>
        <v>4153449</v>
      </c>
      <c r="R297" s="524">
        <f>Aprēķini!R80+Aprēķini!R9+Aprēķini!R14</f>
        <v>4010064</v>
      </c>
      <c r="S297" s="524">
        <f>Aprēķini!S80+Aprēķini!S9+Aprēķini!S14</f>
        <v>3866679</v>
      </c>
      <c r="T297" s="524">
        <f>Aprēķini!T80+Aprēķini!T9+Aprēķini!T14</f>
        <v>3723294</v>
      </c>
      <c r="U297" s="524">
        <f>Aprēķini!U80+Aprēķini!U9+Aprēķini!U14</f>
        <v>3579909</v>
      </c>
      <c r="V297" s="524">
        <f>Aprēķini!V80+Aprēķini!V9+Aprēķini!V14</f>
        <v>3436524</v>
      </c>
      <c r="W297" s="524">
        <f>Aprēķini!W80+Aprēķini!W9+Aprēķini!W14</f>
        <v>3293139</v>
      </c>
      <c r="X297" s="524">
        <f>Aprēķini!X80+Aprēķini!X9+Aprēķini!X14</f>
        <v>3149754</v>
      </c>
      <c r="Y297" s="524">
        <f>Aprēķini!Y80+Aprēķini!Y9+Aprēķini!Y14</f>
        <v>3006369</v>
      </c>
      <c r="Z297" s="524">
        <f>Aprēķini!Z80+Aprēķini!Z9+Aprēķini!Z14</f>
        <v>2862984</v>
      </c>
      <c r="AA297" s="524">
        <f>Aprēķini!AA80+Aprēķini!AA9+Aprēķini!AA14</f>
        <v>2719599</v>
      </c>
      <c r="AB297" s="524">
        <f>Aprēķini!AB80+Aprēķini!AB9+Aprēķini!AB14</f>
        <v>2576214</v>
      </c>
      <c r="AC297" s="524">
        <f>Aprēķini!AC80+Aprēķini!AC9+Aprēķini!AC14</f>
        <v>2432829</v>
      </c>
      <c r="AD297" s="524">
        <f>Aprēķini!AD80+Aprēķini!AD9+Aprēķini!AD14</f>
        <v>2289444</v>
      </c>
      <c r="AE297" s="524">
        <f>Aprēķini!AE80+Aprēķini!AE9+Aprēķini!AE14</f>
        <v>2146059</v>
      </c>
      <c r="AF297" s="524">
        <f>Aprēķini!AF80+Aprēķini!AF9+Aprēķini!AF14</f>
        <v>2002674</v>
      </c>
      <c r="AG297" s="524">
        <f>Aprēķini!AG80+Aprēķini!AG9+Aprēķini!AG14</f>
        <v>1859289</v>
      </c>
      <c r="AH297" s="524">
        <f>Aprēķini!AH80+Aprēķini!AH9+Aprēķini!AH14</f>
        <v>1715904</v>
      </c>
      <c r="AK297" s="110"/>
      <c r="AM297" s="110"/>
      <c r="AO297" s="110"/>
      <c r="AQ297" s="110"/>
      <c r="AT297" s="300"/>
      <c r="AU297" s="300"/>
    </row>
    <row r="298" spans="1:47" x14ac:dyDescent="0.2">
      <c r="A298" s="30" t="s">
        <v>238</v>
      </c>
      <c r="B298" s="524">
        <f>Aprēķini!B86+Aprēķini!B10+Aprēķini!B15</f>
        <v>1697354</v>
      </c>
      <c r="C298" s="524">
        <f>Aprēķini!C86+Aprēķini!C10+Aprēķini!C15</f>
        <v>1585196</v>
      </c>
      <c r="D298" s="524">
        <f>Aprēķini!D86+Aprēķini!D10+Aprēķini!D15</f>
        <v>1473038</v>
      </c>
      <c r="E298" s="524">
        <f>Aprēķini!E86+Aprēķini!E10+Aprēķini!E15</f>
        <v>1360880</v>
      </c>
      <c r="F298" s="524">
        <f>Aprēķini!F86+Aprēķini!F10+Aprēķini!F15</f>
        <v>1248722</v>
      </c>
      <c r="G298" s="524">
        <f>Aprēķini!G86+Aprēķini!G10+Aprēķini!G15</f>
        <v>1136564</v>
      </c>
      <c r="H298" s="524">
        <f>Aprēķini!H86+Aprēķini!H10+Aprēķini!H15</f>
        <v>1024406</v>
      </c>
      <c r="I298" s="524">
        <f>Aprēķini!I86+Aprēķini!I10+Aprēķini!I15</f>
        <v>912248</v>
      </c>
      <c r="J298" s="524">
        <f>Aprēķini!J86+Aprēķini!J10+Aprēķini!J15</f>
        <v>800090</v>
      </c>
      <c r="K298" s="524">
        <f>Aprēķini!K86+Aprēķini!K10+Aprēķini!K15</f>
        <v>687932</v>
      </c>
      <c r="L298" s="524">
        <f>Aprēķini!L86+Aprēķini!L10+Aprēķini!L15</f>
        <v>575774</v>
      </c>
      <c r="M298" s="524">
        <f>Aprēķini!M86+Aprēķini!M10+Aprēķini!M15</f>
        <v>463616</v>
      </c>
      <c r="N298" s="524">
        <f>Aprēķini!N86+Aprēķini!N10+Aprēķini!N15</f>
        <v>351458</v>
      </c>
      <c r="O298" s="524">
        <f>Aprēķini!O86+Aprēķini!O10+Aprēķini!O15</f>
        <v>239300</v>
      </c>
      <c r="P298" s="524">
        <f>Aprēķini!P86+Aprēķini!P10+Aprēķini!P15</f>
        <v>127142</v>
      </c>
      <c r="Q298" s="524">
        <f>Aprēķini!Q86+Aprēķini!Q10+Aprēķini!Q15</f>
        <v>18332</v>
      </c>
      <c r="R298" s="524">
        <f>Aprēķini!R86+Aprēķini!R10+Aprēķini!R15</f>
        <v>0</v>
      </c>
      <c r="S298" s="524">
        <f>Aprēķini!S86+Aprēķini!S10+Aprēķini!S15</f>
        <v>0</v>
      </c>
      <c r="T298" s="524">
        <f>Aprēķini!T86+Aprēķini!T10+Aprēķini!T15</f>
        <v>0</v>
      </c>
      <c r="U298" s="524">
        <f>Aprēķini!U86+Aprēķini!U10+Aprēķini!U15</f>
        <v>0</v>
      </c>
      <c r="V298" s="524">
        <f>Aprēķini!V86+Aprēķini!V10+Aprēķini!V15</f>
        <v>0</v>
      </c>
      <c r="W298" s="524">
        <f>Aprēķini!W86+Aprēķini!W10+Aprēķini!W15</f>
        <v>0</v>
      </c>
      <c r="X298" s="524">
        <f>Aprēķini!X86+Aprēķini!X10+Aprēķini!X15</f>
        <v>0</v>
      </c>
      <c r="Y298" s="524">
        <f>Aprēķini!Y86+Aprēķini!Y10+Aprēķini!Y15</f>
        <v>0</v>
      </c>
      <c r="Z298" s="524">
        <f>Aprēķini!Z86+Aprēķini!Z10+Aprēķini!Z15</f>
        <v>0</v>
      </c>
      <c r="AA298" s="524">
        <f>Aprēķini!AA86+Aprēķini!AA10+Aprēķini!AA15</f>
        <v>0</v>
      </c>
      <c r="AB298" s="524">
        <f>Aprēķini!AB86+Aprēķini!AB10+Aprēķini!AB15</f>
        <v>0</v>
      </c>
      <c r="AC298" s="524">
        <f>Aprēķini!AC86+Aprēķini!AC10+Aprēķini!AC15</f>
        <v>0</v>
      </c>
      <c r="AD298" s="524">
        <f>Aprēķini!AD86+Aprēķini!AD10+Aprēķini!AD15</f>
        <v>0</v>
      </c>
      <c r="AE298" s="524">
        <f>Aprēķini!AE86+Aprēķini!AE10+Aprēķini!AE15</f>
        <v>0</v>
      </c>
      <c r="AF298" s="524">
        <f>Aprēķini!AF86+Aprēķini!AF10+Aprēķini!AF15</f>
        <v>0</v>
      </c>
      <c r="AG298" s="524">
        <f>Aprēķini!AG86+Aprēķini!AG10+Aprēķini!AG15</f>
        <v>0</v>
      </c>
      <c r="AH298" s="524">
        <f>Aprēķini!AH86+Aprēķini!AH10+Aprēķini!AH15</f>
        <v>0</v>
      </c>
      <c r="AK298" s="110"/>
      <c r="AM298" s="110"/>
      <c r="AO298" s="110"/>
      <c r="AQ298" s="110"/>
      <c r="AT298" s="300"/>
      <c r="AU298" s="300"/>
    </row>
    <row r="299" spans="1:47" ht="25.5" x14ac:dyDescent="0.2">
      <c r="A299" s="30" t="s">
        <v>605</v>
      </c>
      <c r="B299" s="524">
        <f>Aprēķini!B92+Aprēķini!B11+Aprēķini!B16+B12+B17</f>
        <v>327710.03000000003</v>
      </c>
      <c r="C299" s="524">
        <f>Aprēķini!C92+Aprēķini!C11+Aprēķini!C16+C12+C17</f>
        <v>341190.83</v>
      </c>
      <c r="D299" s="524">
        <f>Aprēķini!D92+Aprēķini!D11+Aprēķini!D16+D12+D17</f>
        <v>328866.83</v>
      </c>
      <c r="E299" s="524">
        <f>Aprēķini!E92+Aprēķini!E11+Aprēķini!E16+E12+E17</f>
        <v>295382.74699999997</v>
      </c>
      <c r="F299" s="524">
        <f>Aprēķini!F92+Aprēķini!F11+Aprēķini!F16+F12+F17</f>
        <v>261898.66399999999</v>
      </c>
      <c r="G299" s="524">
        <f>Aprēķini!G92+Aprēķini!G11+Aprēķini!G16+G12+G17</f>
        <v>228414.58100000001</v>
      </c>
      <c r="H299" s="524">
        <f>Aprēķini!H92+Aprēķini!H11+Aprēķini!H16+H12+H17</f>
        <v>194930.49799999999</v>
      </c>
      <c r="I299" s="524">
        <f>Aprēķini!I92+Aprēķini!I11+Aprēķini!I16+I12+I17</f>
        <v>161446.41500000001</v>
      </c>
      <c r="J299" s="524">
        <f>Aprēķini!J92+Aprēķini!J11+Aprēķini!J16+J12+J17</f>
        <v>127962.33199999999</v>
      </c>
      <c r="K299" s="524">
        <f>Aprēķini!K92+Aprēķini!K11+Aprēķini!K16+K12+K17</f>
        <v>94478.248999999996</v>
      </c>
      <c r="L299" s="524">
        <f>Aprēķini!L92+Aprēķini!L11+Aprēķini!L16+L12+L17</f>
        <v>60994.165999999997</v>
      </c>
      <c r="M299" s="524">
        <f>Aprēķini!M92+Aprēķini!M11+Aprēķini!M16+M12+M17</f>
        <v>27510.082999999999</v>
      </c>
      <c r="N299" s="524">
        <f>Aprēķini!N92+Aprēķini!N11+Aprēķini!N16+N12+N17</f>
        <v>169</v>
      </c>
      <c r="O299" s="524">
        <f>Aprēķini!O92+Aprēķini!O11+Aprēķini!O16+O12+O17</f>
        <v>26</v>
      </c>
      <c r="P299" s="524">
        <f>Aprēķini!P92+Aprēķini!P11+Aprēķini!P16+P12+P17</f>
        <v>0</v>
      </c>
      <c r="Q299" s="524">
        <f>Aprēķini!Q92+Aprēķini!Q11+Aprēķini!Q16+Q12+Q17</f>
        <v>0</v>
      </c>
      <c r="R299" s="524">
        <f>Aprēķini!R92+Aprēķini!R11+Aprēķini!R16+R12+R17</f>
        <v>0</v>
      </c>
      <c r="S299" s="524">
        <f>Aprēķini!S92+Aprēķini!S11+Aprēķini!S16+S12+S17</f>
        <v>0</v>
      </c>
      <c r="T299" s="524">
        <f>Aprēķini!T92+Aprēķini!T11+Aprēķini!T16+T12+T17</f>
        <v>0</v>
      </c>
      <c r="U299" s="524">
        <f>Aprēķini!U92+Aprēķini!U11+Aprēķini!U16+U12+U17</f>
        <v>0</v>
      </c>
      <c r="V299" s="524">
        <f>Aprēķini!V92+Aprēķini!V11+Aprēķini!V16+V12+V17</f>
        <v>0</v>
      </c>
      <c r="W299" s="524">
        <f>Aprēķini!W92+Aprēķini!W11+Aprēķini!W16+W12+W17</f>
        <v>0</v>
      </c>
      <c r="X299" s="524">
        <f>Aprēķini!X92+Aprēķini!X11+Aprēķini!X16+X12+X17</f>
        <v>0</v>
      </c>
      <c r="Y299" s="524">
        <f>Aprēķini!Y92+Aprēķini!Y11+Aprēķini!Y16+Y12+Y17</f>
        <v>0</v>
      </c>
      <c r="Z299" s="524">
        <f>Aprēķini!Z92+Aprēķini!Z11+Aprēķini!Z16+Z12+Z17</f>
        <v>0</v>
      </c>
      <c r="AA299" s="524">
        <f>Aprēķini!AA92+Aprēķini!AA11+Aprēķini!AA16+AA12+AA17</f>
        <v>0</v>
      </c>
      <c r="AB299" s="524">
        <f>Aprēķini!AB92+Aprēķini!AB11+Aprēķini!AB16+AB12+AB17</f>
        <v>0</v>
      </c>
      <c r="AC299" s="524">
        <f>Aprēķini!AC92+Aprēķini!AC11+Aprēķini!AC16+AC12+AC17</f>
        <v>0</v>
      </c>
      <c r="AD299" s="524">
        <f>Aprēķini!AD92+Aprēķini!AD11+Aprēķini!AD16+AD12+AD17</f>
        <v>0</v>
      </c>
      <c r="AE299" s="524">
        <f>Aprēķini!AE92+Aprēķini!AE11+Aprēķini!AE16+AE12+AE17</f>
        <v>0</v>
      </c>
      <c r="AF299" s="524">
        <f>Aprēķini!AF92+Aprēķini!AF11+Aprēķini!AF16+AF12+AF17</f>
        <v>0</v>
      </c>
      <c r="AG299" s="524">
        <f>Aprēķini!AG92+Aprēķini!AG11+Aprēķini!AG16+AG12+AG17</f>
        <v>0</v>
      </c>
      <c r="AH299" s="524">
        <f>Aprēķini!AH92+Aprēķini!AH11+Aprēķini!AH16+AH12+AH17</f>
        <v>0</v>
      </c>
      <c r="AK299" s="110"/>
      <c r="AM299" s="110"/>
      <c r="AO299" s="110"/>
      <c r="AQ299" s="110"/>
      <c r="AT299" s="300"/>
      <c r="AU299" s="300"/>
    </row>
    <row r="300" spans="1:47" x14ac:dyDescent="0.2">
      <c r="A300" s="523" t="s">
        <v>606</v>
      </c>
      <c r="B300" s="525">
        <f t="shared" ref="B300:AG300" si="134">SUM(B301:B302)</f>
        <v>354614.66746969224</v>
      </c>
      <c r="C300" s="525">
        <f t="shared" si="134"/>
        <v>539017.69638175506</v>
      </c>
      <c r="D300" s="525">
        <f t="shared" si="134"/>
        <v>886689.75933044264</v>
      </c>
      <c r="E300" s="525">
        <f t="shared" si="134"/>
        <v>1221577.5824505349</v>
      </c>
      <c r="F300" s="525">
        <f t="shared" si="134"/>
        <v>1558309.6072590484</v>
      </c>
      <c r="G300" s="525">
        <f t="shared" si="134"/>
        <v>1895930.7622352107</v>
      </c>
      <c r="H300" s="525">
        <f>SUM(H301:H302)</f>
        <v>2234192.5210936964</v>
      </c>
      <c r="I300" s="525">
        <f>SUM(I301:I302)</f>
        <v>2573093.2724739588</v>
      </c>
      <c r="J300" s="525">
        <f>SUM(J301:J302)</f>
        <v>2917464.1894161096</v>
      </c>
      <c r="K300" s="525">
        <f>SUM(K301:K302)</f>
        <v>3261810.577025014</v>
      </c>
      <c r="L300" s="525">
        <f t="shared" si="134"/>
        <v>3607078.0072744209</v>
      </c>
      <c r="M300" s="525">
        <f t="shared" si="134"/>
        <v>3952918.0564317852</v>
      </c>
      <c r="N300" s="525">
        <f t="shared" si="134"/>
        <v>4292887.1395426923</v>
      </c>
      <c r="O300" s="525">
        <f t="shared" si="134"/>
        <v>4604663.589601988</v>
      </c>
      <c r="P300" s="525">
        <f t="shared" si="134"/>
        <v>4917207.6465440542</v>
      </c>
      <c r="Q300" s="525">
        <f t="shared" si="134"/>
        <v>5229809.8920194339</v>
      </c>
      <c r="R300" s="525">
        <f t="shared" si="134"/>
        <v>5450430.7858636156</v>
      </c>
      <c r="S300" s="525">
        <f t="shared" si="134"/>
        <v>5657262.471769684</v>
      </c>
      <c r="T300" s="525">
        <f t="shared" si="134"/>
        <v>5860671.2368839737</v>
      </c>
      <c r="U300" s="525">
        <f t="shared" si="134"/>
        <v>6065185.0183690339</v>
      </c>
      <c r="V300" s="525">
        <f t="shared" si="134"/>
        <v>6271282.9921414023</v>
      </c>
      <c r="W300" s="525">
        <f t="shared" si="134"/>
        <v>6478684.4060170874</v>
      </c>
      <c r="X300" s="525">
        <f t="shared" si="134"/>
        <v>6689815.6552395392</v>
      </c>
      <c r="Y300" s="525">
        <f t="shared" si="134"/>
        <v>6902250.3445653077</v>
      </c>
      <c r="Z300" s="525">
        <f t="shared" si="134"/>
        <v>7115640.0502618467</v>
      </c>
      <c r="AA300" s="525">
        <f t="shared" si="134"/>
        <v>7330333.1960617015</v>
      </c>
      <c r="AB300" s="525">
        <f t="shared" si="134"/>
        <v>7546260.6969905077</v>
      </c>
      <c r="AC300" s="525">
        <f t="shared" si="134"/>
        <v>7765643.6234687697</v>
      </c>
      <c r="AD300" s="525">
        <f t="shared" si="134"/>
        <v>8000754.8552993666</v>
      </c>
      <c r="AE300" s="525">
        <f t="shared" si="134"/>
        <v>8237173.1278514583</v>
      </c>
      <c r="AF300" s="525">
        <f t="shared" si="134"/>
        <v>8466003.3978091255</v>
      </c>
      <c r="AG300" s="525">
        <f t="shared" si="134"/>
        <v>8696306.2535791006</v>
      </c>
      <c r="AH300" s="525">
        <f>SUM(AH301:AH302)</f>
        <v>8928081.6951613817</v>
      </c>
      <c r="AK300" s="110"/>
      <c r="AM300" s="110"/>
      <c r="AO300" s="110"/>
      <c r="AQ300" s="110"/>
      <c r="AT300" s="300"/>
      <c r="AU300" s="300"/>
    </row>
    <row r="301" spans="1:47" x14ac:dyDescent="0.2">
      <c r="A301" s="30" t="s">
        <v>607</v>
      </c>
      <c r="B301" s="524">
        <f>'Naudas plūsma'!B26</f>
        <v>343075.78094969224</v>
      </c>
      <c r="C301" s="524">
        <f>'Naudas plūsma'!C26</f>
        <v>515072.4389227627</v>
      </c>
      <c r="D301" s="524">
        <f>'Naudas plūsma'!D26</f>
        <v>849926.29519559175</v>
      </c>
      <c r="E301" s="524">
        <f>'Naudas plūsma'!E26</f>
        <v>1170634.7315332324</v>
      </c>
      <c r="F301" s="524">
        <f>'Naudas plūsma'!F26</f>
        <v>1492022.4480971065</v>
      </c>
      <c r="G301" s="524">
        <f>'Naudas plūsma'!G26</f>
        <v>1814079.0224871121</v>
      </c>
      <c r="H301" s="524">
        <f>'Naudas plūsma'!H26</f>
        <v>2136581.6114463592</v>
      </c>
      <c r="I301" s="524">
        <f>'Naudas plūsma'!I26</f>
        <v>2459528.6287560696</v>
      </c>
      <c r="J301" s="524">
        <f>'Naudas plūsma'!J26</f>
        <v>2787690.1762971142</v>
      </c>
      <c r="K301" s="524">
        <f>'Naudas plūsma'!K26</f>
        <v>3116652.6498258868</v>
      </c>
      <c r="L301" s="524">
        <f>'Naudas plūsma'!L26</f>
        <v>3446296.4135911353</v>
      </c>
      <c r="M301" s="524">
        <f>'Naudas plūsma'!M26</f>
        <v>3776278.270216302</v>
      </c>
      <c r="N301" s="524">
        <f>'Naudas plūsma'!N26</f>
        <v>4100248.6620139433</v>
      </c>
      <c r="O301" s="524">
        <f>'Naudas plūsma'!O26</f>
        <v>4396104.4154028567</v>
      </c>
      <c r="P301" s="524">
        <f>'Naudas plūsma'!P26</f>
        <v>4692456.7594162179</v>
      </c>
      <c r="Q301" s="524">
        <f>'Naudas plūsma'!Q26</f>
        <v>4988606.9169798102</v>
      </c>
      <c r="R301" s="524">
        <f>'Naudas plūsma'!R26</f>
        <v>5193171.441031591</v>
      </c>
      <c r="S301" s="524">
        <f>'Naudas plūsma'!S26</f>
        <v>5383878.3431092473</v>
      </c>
      <c r="T301" s="524">
        <f>'Naudas plūsma'!T26</f>
        <v>5570938.4160519205</v>
      </c>
      <c r="U301" s="524">
        <f>'Naudas plūsma'!U26</f>
        <v>5758811.6779647209</v>
      </c>
      <c r="V301" s="524">
        <f>'Naudas plūsma'!V26</f>
        <v>5947857.6171254376</v>
      </c>
      <c r="W301" s="524">
        <f>'Naudas plūsma'!W26</f>
        <v>6137909.9426328391</v>
      </c>
      <c r="X301" s="524">
        <f>'Naudas plūsma'!X26</f>
        <v>6331358.6538017243</v>
      </c>
      <c r="Y301" s="524">
        <f>'Naudas plūsma'!Y26</f>
        <v>6525813.7513172943</v>
      </c>
      <c r="Z301" s="524">
        <f>'Naudas plūsma'!Z26</f>
        <v>6720932.0378029915</v>
      </c>
      <c r="AA301" s="524">
        <f>'Naudas plūsma'!AA26</f>
        <v>6917056.7106353724</v>
      </c>
      <c r="AB301" s="524">
        <f>'Naudas plūsma'!AB26</f>
        <v>7114066.5862730481</v>
      </c>
      <c r="AC301" s="524">
        <f>'Naudas plūsma'!AC26</f>
        <v>7313636.4190802164</v>
      </c>
      <c r="AD301" s="524">
        <f>'Naudas plūsma'!AD26</f>
        <v>7527132.2956627132</v>
      </c>
      <c r="AE301" s="524">
        <f>'Naudas plūsma'!AE26</f>
        <v>7741554.8203591602</v>
      </c>
      <c r="AF301" s="524">
        <f>'Naudas plūsma'!AF26</f>
        <v>7948092.760112714</v>
      </c>
      <c r="AG301" s="524">
        <f>'Naudas plūsma'!AG26</f>
        <v>8155670.7945040073</v>
      </c>
      <c r="AH301" s="524">
        <f>'Naudas plūsma'!AH26</f>
        <v>8364288.9235330392</v>
      </c>
      <c r="AK301" s="110"/>
      <c r="AM301" s="110"/>
      <c r="AO301" s="110"/>
      <c r="AQ301" s="110"/>
      <c r="AT301" s="300"/>
      <c r="AU301" s="300"/>
    </row>
    <row r="302" spans="1:47" x14ac:dyDescent="0.2">
      <c r="A302" s="30" t="s">
        <v>608</v>
      </c>
      <c r="B302" s="524">
        <f>'Saimnieciskas pamatdarbibas NP'!B109*'gadu šķirošana'!C56</f>
        <v>11538.88652</v>
      </c>
      <c r="C302" s="524">
        <f>'Saimnieciskas pamatdarbibas NP'!C109*'gadu šķirošana'!F56+B302</f>
        <v>23945.257458992372</v>
      </c>
      <c r="D302" s="524">
        <f>'Saimnieciskas pamatdarbibas NP'!D109*'gadu šķirošana'!E56+C302</f>
        <v>36763.46413485091</v>
      </c>
      <c r="E302" s="524">
        <f>'Saimnieciskas pamatdarbibas NP'!E109*'gadu šķirošana'!F56+D302</f>
        <v>50942.85091730245</v>
      </c>
      <c r="F302" s="524">
        <f>'Saimnieciskas pamatdarbibas NP'!F109*'gadu šķirošana'!G56+E302</f>
        <v>66287.159161941949</v>
      </c>
      <c r="G302" s="524">
        <f>'Saimnieciskas pamatdarbibas NP'!G109*'gadu šķirošana'!H56+F302</f>
        <v>81851.739748098582</v>
      </c>
      <c r="H302" s="524">
        <f>'Saimnieciskas pamatdarbibas NP'!H109*'gadu šķirošana'!I56+G302</f>
        <v>97610.909647337321</v>
      </c>
      <c r="I302" s="524">
        <f>'Saimnieciskas pamatdarbibas NP'!I109*'gadu šķirošana'!J56+H302</f>
        <v>113564.64371788941</v>
      </c>
      <c r="J302" s="524">
        <f>'Saimnieciskas pamatdarbibas NP'!J109*'gadu šķirošana'!K56+I302</f>
        <v>129774.01311899554</v>
      </c>
      <c r="K302" s="524">
        <f>'Saimnieciskas pamatdarbibas NP'!K109*'gadu šķirošana'!L56+J302</f>
        <v>145157.92719912701</v>
      </c>
      <c r="L302" s="524">
        <f>'Saimnieciskas pamatdarbibas NP'!L109*'gadu šķirošana'!M56+K302</f>
        <v>160781.59368328564</v>
      </c>
      <c r="M302" s="524">
        <f>'Saimnieciskas pamatdarbibas NP'!M109*'gadu šķirošana'!N56+L302</f>
        <v>176639.78621548324</v>
      </c>
      <c r="N302" s="524">
        <f>'Saimnieciskas pamatdarbibas NP'!N109*'gadu šķirošana'!O56+M302</f>
        <v>192638.47752874886</v>
      </c>
      <c r="O302" s="524">
        <f>'Saimnieciskas pamatdarbibas NP'!O109*'gadu šķirošana'!P56+N302</f>
        <v>208559.17419913097</v>
      </c>
      <c r="P302" s="524">
        <f>'Saimnieciskas pamatdarbibas NP'!P109*'gadu šķirošana'!Q56+O302</f>
        <v>224750.88712783658</v>
      </c>
      <c r="Q302" s="524">
        <f>'Saimnieciskas pamatdarbibas NP'!Q109*'gadu šķirošana'!R56+P302</f>
        <v>241202.97503962382</v>
      </c>
      <c r="R302" s="524">
        <f>'Saimnieciskas pamatdarbibas NP'!R109*'gadu šķirošana'!S56+Q302</f>
        <v>257259.344832025</v>
      </c>
      <c r="S302" s="524">
        <f>'Saimnieciskas pamatdarbibas NP'!S109*'gadu šķirošana'!T56+R302</f>
        <v>273384.12866043643</v>
      </c>
      <c r="T302" s="524">
        <f>'Saimnieciskas pamatdarbibas NP'!T109*'gadu šķirošana'!U56+S302</f>
        <v>289732.82083205308</v>
      </c>
      <c r="U302" s="524">
        <f>'Saimnieciskas pamatdarbibas NP'!U109*'gadu šķirošana'!V56+T302</f>
        <v>306373.34040431323</v>
      </c>
      <c r="V302" s="524">
        <f>'Saimnieciskas pamatdarbibas NP'!V109*'gadu šķirošana'!W56+U302</f>
        <v>323425.37501596496</v>
      </c>
      <c r="W302" s="524">
        <f>'Saimnieciskas pamatdarbibas NP'!W109*'gadu šķirošana'!X56+V302</f>
        <v>340774.46338424837</v>
      </c>
      <c r="X302" s="524">
        <f>'Saimnieciskas pamatdarbibas NP'!X109*'gadu šķirošana'!Y56+W302</f>
        <v>358457.0014378152</v>
      </c>
      <c r="Y302" s="524">
        <f>'Saimnieciskas pamatdarbibas NP'!Y109*'gadu šķirošana'!Z56+X302</f>
        <v>376436.5932480137</v>
      </c>
      <c r="Z302" s="524">
        <f>'Saimnieciskas pamatdarbibas NP'!Z109*'gadu šķirošana'!AA56+Y302</f>
        <v>394708.01245885569</v>
      </c>
      <c r="AA302" s="524">
        <f>'Saimnieciskas pamatdarbibas NP'!AA109*'gadu šķirošana'!AB56+Z302</f>
        <v>413276.48542632937</v>
      </c>
      <c r="AB302" s="524">
        <f>'Saimnieciskas pamatdarbibas NP'!AB109*'gadu šķirošana'!AC56+AA302</f>
        <v>432194.11071745923</v>
      </c>
      <c r="AC302" s="524">
        <f>'Saimnieciskas pamatdarbibas NP'!AC109*'gadu šķirošana'!AD56+AB302</f>
        <v>452007.20438855287</v>
      </c>
      <c r="AD302" s="524">
        <f>'Saimnieciskas pamatdarbibas NP'!AD109*'gadu šķirošana'!AE56+AC302</f>
        <v>473622.55963665346</v>
      </c>
      <c r="AE302" s="524">
        <f>'Saimnieciskas pamatdarbibas NP'!AE109*'gadu šķirošana'!AF56+AD302</f>
        <v>495618.30749229842</v>
      </c>
      <c r="AF302" s="524">
        <f>'Saimnieciskas pamatdarbibas NP'!AF109*'gadu šķirošana'!AG56+AE302</f>
        <v>517910.63769641123</v>
      </c>
      <c r="AG302" s="524">
        <f>'Saimnieciskas pamatdarbibas NP'!AG109*'gadu šķirošana'!AH56+AF302</f>
        <v>540635.45907509292</v>
      </c>
      <c r="AH302" s="524">
        <f>'Saimnieciskas pamatdarbibas NP'!AH109*'gadu šķirošana'!AI56+AG302</f>
        <v>563792.77162834338</v>
      </c>
      <c r="AK302" s="110"/>
      <c r="AM302" s="110"/>
      <c r="AO302" s="110"/>
      <c r="AQ302" s="110"/>
      <c r="AT302" s="300"/>
      <c r="AU302" s="300"/>
    </row>
    <row r="303" spans="1:47" x14ac:dyDescent="0.2">
      <c r="A303" s="523" t="s">
        <v>609</v>
      </c>
      <c r="B303" s="525">
        <f t="shared" ref="B303:AG303" si="135">B296+B300</f>
        <v>7832632.6974696927</v>
      </c>
      <c r="C303" s="525">
        <f t="shared" si="135"/>
        <v>8662538.5263817552</v>
      </c>
      <c r="D303" s="525">
        <f t="shared" si="135"/>
        <v>8706047.5893304422</v>
      </c>
      <c r="E303" s="525">
        <f t="shared" si="135"/>
        <v>8751909.3294505347</v>
      </c>
      <c r="F303" s="525">
        <f t="shared" si="135"/>
        <v>8799614.271259049</v>
      </c>
      <c r="G303" s="525">
        <f t="shared" si="135"/>
        <v>8848208.3432352114</v>
      </c>
      <c r="H303" s="525">
        <f>H296+H300</f>
        <v>8897443.019093696</v>
      </c>
      <c r="I303" s="525">
        <f>I296+I300</f>
        <v>8947316.6874739584</v>
      </c>
      <c r="J303" s="525">
        <f>J296+J300</f>
        <v>9002660.5214161091</v>
      </c>
      <c r="K303" s="525">
        <f>K296+K300</f>
        <v>9057979.8260250129</v>
      </c>
      <c r="L303" s="525">
        <f t="shared" si="135"/>
        <v>9114220.1732744202</v>
      </c>
      <c r="M303" s="525">
        <f t="shared" si="135"/>
        <v>9171033.1394317858</v>
      </c>
      <c r="N303" s="525">
        <f t="shared" si="135"/>
        <v>9228118.1395426914</v>
      </c>
      <c r="O303" s="525">
        <f t="shared" si="135"/>
        <v>9284208.589601988</v>
      </c>
      <c r="P303" s="525">
        <f t="shared" si="135"/>
        <v>9341183.6465440542</v>
      </c>
      <c r="Q303" s="525">
        <f t="shared" si="135"/>
        <v>9401590.8920194339</v>
      </c>
      <c r="R303" s="525">
        <f t="shared" si="135"/>
        <v>9460494.7858636156</v>
      </c>
      <c r="S303" s="525">
        <f t="shared" si="135"/>
        <v>9523941.4717696831</v>
      </c>
      <c r="T303" s="525">
        <f t="shared" si="135"/>
        <v>9583965.2368839737</v>
      </c>
      <c r="U303" s="525">
        <f t="shared" si="135"/>
        <v>9645094.0183690339</v>
      </c>
      <c r="V303" s="525">
        <f t="shared" si="135"/>
        <v>9707806.9921414033</v>
      </c>
      <c r="W303" s="525">
        <f t="shared" si="135"/>
        <v>9771823.4060170874</v>
      </c>
      <c r="X303" s="525">
        <f t="shared" si="135"/>
        <v>9839569.6552395392</v>
      </c>
      <c r="Y303" s="525">
        <f t="shared" si="135"/>
        <v>9908619.3445653077</v>
      </c>
      <c r="Z303" s="525">
        <f t="shared" si="135"/>
        <v>9978624.0502618477</v>
      </c>
      <c r="AA303" s="525">
        <f t="shared" si="135"/>
        <v>10049932.196061701</v>
      </c>
      <c r="AB303" s="525">
        <f t="shared" si="135"/>
        <v>10122474.696990509</v>
      </c>
      <c r="AC303" s="525">
        <f t="shared" si="135"/>
        <v>10198472.62346877</v>
      </c>
      <c r="AD303" s="525">
        <f t="shared" si="135"/>
        <v>10290198.855299367</v>
      </c>
      <c r="AE303" s="525">
        <f t="shared" si="135"/>
        <v>10383232.127851458</v>
      </c>
      <c r="AF303" s="525">
        <f t="shared" si="135"/>
        <v>10468677.397809125</v>
      </c>
      <c r="AG303" s="525">
        <f t="shared" si="135"/>
        <v>10555595.253579101</v>
      </c>
      <c r="AH303" s="525">
        <f>AH296+AH300</f>
        <v>10643985.695161382</v>
      </c>
      <c r="AK303" s="110"/>
      <c r="AM303" s="110"/>
      <c r="AO303" s="110"/>
      <c r="AQ303" s="110"/>
      <c r="AT303" s="300"/>
      <c r="AU303" s="300"/>
    </row>
    <row r="304" spans="1:47" x14ac:dyDescent="0.2">
      <c r="A304" s="628" t="s">
        <v>610</v>
      </c>
      <c r="B304" s="622"/>
      <c r="C304" s="622"/>
      <c r="D304" s="622"/>
      <c r="E304" s="622"/>
      <c r="F304" s="622"/>
      <c r="G304" s="622"/>
      <c r="H304" s="622"/>
      <c r="I304" s="622"/>
      <c r="J304" s="622"/>
      <c r="K304" s="622"/>
      <c r="L304" s="622"/>
      <c r="M304" s="622"/>
      <c r="N304" s="622"/>
      <c r="O304" s="622"/>
      <c r="P304" s="622"/>
      <c r="Q304" s="622"/>
      <c r="R304" s="622"/>
      <c r="S304" s="622"/>
      <c r="T304" s="622"/>
      <c r="U304" s="622"/>
      <c r="V304" s="622"/>
      <c r="W304" s="622"/>
      <c r="X304" s="622"/>
      <c r="Y304" s="622"/>
      <c r="Z304" s="622"/>
      <c r="AA304" s="622"/>
      <c r="AB304" s="622"/>
      <c r="AC304" s="622"/>
      <c r="AD304" s="622"/>
      <c r="AE304" s="622"/>
      <c r="AF304" s="622"/>
      <c r="AG304" s="622"/>
      <c r="AH304" s="622"/>
      <c r="AK304" s="110"/>
      <c r="AM304" s="110"/>
      <c r="AO304" s="110"/>
      <c r="AQ304" s="110"/>
      <c r="AT304" s="300"/>
      <c r="AU304" s="300"/>
    </row>
    <row r="305" spans="1:47" x14ac:dyDescent="0.2">
      <c r="A305" s="523" t="s">
        <v>611</v>
      </c>
      <c r="B305" s="525">
        <f t="shared" ref="B305:AG305" si="136">SUM(B306:B307)</f>
        <v>3952046.3183999998</v>
      </c>
      <c r="C305" s="525">
        <f t="shared" si="136"/>
        <v>3934491.5259161298</v>
      </c>
      <c r="D305" s="525">
        <f t="shared" si="136"/>
        <v>3960490.4762559501</v>
      </c>
      <c r="E305" s="525">
        <f t="shared" si="136"/>
        <v>4015277.0976948724</v>
      </c>
      <c r="F305" s="525">
        <f t="shared" si="136"/>
        <v>4070962.6283700527</v>
      </c>
      <c r="G305" s="525">
        <f t="shared" si="136"/>
        <v>4127537.2892128816</v>
      </c>
      <c r="H305" s="525">
        <f>SUM(H306:H307)</f>
        <v>4184752.553938034</v>
      </c>
      <c r="I305" s="525">
        <f>SUM(I306:I307)</f>
        <v>4242606.8111849632</v>
      </c>
      <c r="J305" s="525">
        <f>SUM(J306:J307)</f>
        <v>4304918.1484062113</v>
      </c>
      <c r="K305" s="525">
        <f>SUM(K306:K307)</f>
        <v>4368218.041881782</v>
      </c>
      <c r="L305" s="525">
        <f t="shared" si="136"/>
        <v>4432438.9779978562</v>
      </c>
      <c r="M305" s="525">
        <f t="shared" si="136"/>
        <v>4497232.5330218868</v>
      </c>
      <c r="N305" s="525">
        <f t="shared" si="136"/>
        <v>4562298.1219994603</v>
      </c>
      <c r="O305" s="525">
        <f t="shared" si="136"/>
        <v>4626369.1609254228</v>
      </c>
      <c r="P305" s="525">
        <f t="shared" si="136"/>
        <v>4691324.8067341559</v>
      </c>
      <c r="Q305" s="525">
        <f t="shared" si="136"/>
        <v>4759712.6410762025</v>
      </c>
      <c r="R305" s="525">
        <f t="shared" si="136"/>
        <v>4826597.1237870511</v>
      </c>
      <c r="S305" s="525">
        <f t="shared" si="136"/>
        <v>4898024.3985597845</v>
      </c>
      <c r="T305" s="525">
        <f t="shared" si="136"/>
        <v>4966028.752540742</v>
      </c>
      <c r="U305" s="525">
        <f t="shared" si="136"/>
        <v>5035138.1228924692</v>
      </c>
      <c r="V305" s="525">
        <f t="shared" si="136"/>
        <v>5105831.6855315045</v>
      </c>
      <c r="W305" s="525">
        <f t="shared" si="136"/>
        <v>5177828.6882738555</v>
      </c>
      <c r="X305" s="525">
        <f t="shared" si="136"/>
        <v>5253555.5263629742</v>
      </c>
      <c r="Y305" s="525">
        <f t="shared" si="136"/>
        <v>5330585.8045554096</v>
      </c>
      <c r="Z305" s="525">
        <f t="shared" si="136"/>
        <v>5408571.0991186146</v>
      </c>
      <c r="AA305" s="525">
        <f t="shared" si="136"/>
        <v>5487859.8337851372</v>
      </c>
      <c r="AB305" s="525">
        <f t="shared" si="136"/>
        <v>5568382.9235806093</v>
      </c>
      <c r="AC305" s="525">
        <f t="shared" si="136"/>
        <v>5652361.4389255382</v>
      </c>
      <c r="AD305" s="525">
        <f t="shared" si="136"/>
        <v>5752068.259622802</v>
      </c>
      <c r="AE305" s="525">
        <f t="shared" si="136"/>
        <v>5853082.1210415605</v>
      </c>
      <c r="AF305" s="525">
        <f t="shared" si="136"/>
        <v>5946507.9798658937</v>
      </c>
      <c r="AG305" s="525">
        <f t="shared" si="136"/>
        <v>6041406.4245025348</v>
      </c>
      <c r="AH305" s="525">
        <f>SUM(AH306:AH307)</f>
        <v>6137777.4549514838</v>
      </c>
      <c r="AK305" s="110"/>
      <c r="AM305" s="110"/>
      <c r="AO305" s="110"/>
      <c r="AQ305" s="110"/>
      <c r="AT305" s="300"/>
      <c r="AU305" s="300"/>
    </row>
    <row r="306" spans="1:47" x14ac:dyDescent="0.2">
      <c r="A306" s="30" t="s">
        <v>612</v>
      </c>
      <c r="B306" s="524">
        <f>'Datu ievade'!B242</f>
        <v>4480891</v>
      </c>
      <c r="C306" s="524">
        <f>B306+'Datu ievade'!B229</f>
        <v>4480891</v>
      </c>
      <c r="D306" s="524">
        <f>C306+'Datu ievade'!C229</f>
        <v>4480891</v>
      </c>
      <c r="E306" s="524">
        <f>D306+'Datu ievade'!D229</f>
        <v>4480891</v>
      </c>
      <c r="F306" s="524">
        <f>E306+'Datu ievade'!E229</f>
        <v>4480891</v>
      </c>
      <c r="G306" s="524">
        <f>F306+'Datu ievade'!F229</f>
        <v>4480891</v>
      </c>
      <c r="H306" s="524">
        <f>G306+'Datu ievade'!G229</f>
        <v>4480891</v>
      </c>
      <c r="I306" s="524">
        <f>H306+'Datu ievade'!H229</f>
        <v>4480891</v>
      </c>
      <c r="J306" s="524">
        <f>I306+'Datu ievade'!I229</f>
        <v>4480891</v>
      </c>
      <c r="K306" s="524">
        <f>J306+'Datu ievade'!J229</f>
        <v>4480891</v>
      </c>
      <c r="L306" s="524">
        <f>K306+'Datu ievade'!K229</f>
        <v>4480891</v>
      </c>
      <c r="M306" s="524">
        <f>L306+'Datu ievade'!L229</f>
        <v>4480891</v>
      </c>
      <c r="N306" s="524">
        <f>M306+'Datu ievade'!M229</f>
        <v>4480891</v>
      </c>
      <c r="O306" s="524">
        <f>N306+'Datu ievade'!N229</f>
        <v>4480891</v>
      </c>
      <c r="P306" s="524">
        <f>O306+'Datu ievade'!O229</f>
        <v>4480891</v>
      </c>
      <c r="Q306" s="524">
        <f>P306+'Datu ievade'!P229</f>
        <v>4480891</v>
      </c>
      <c r="R306" s="524">
        <f>Q306+'Datu ievade'!Q229</f>
        <v>4480891</v>
      </c>
      <c r="S306" s="524">
        <f>R306+'Datu ievade'!R229</f>
        <v>4480891</v>
      </c>
      <c r="T306" s="524">
        <f>S306+'Datu ievade'!S229</f>
        <v>4480891</v>
      </c>
      <c r="U306" s="524">
        <f>T306+'Datu ievade'!T229</f>
        <v>4480891</v>
      </c>
      <c r="V306" s="524">
        <f>U306+'Datu ievade'!U229</f>
        <v>4480891</v>
      </c>
      <c r="W306" s="524">
        <f>V306+'Datu ievade'!V229</f>
        <v>4480891</v>
      </c>
      <c r="X306" s="524">
        <f>W306+'Datu ievade'!W229</f>
        <v>4480891</v>
      </c>
      <c r="Y306" s="524">
        <f>X306+'Datu ievade'!X229</f>
        <v>4480891</v>
      </c>
      <c r="Z306" s="524">
        <f>Y306+'Datu ievade'!Y229</f>
        <v>4480891</v>
      </c>
      <c r="AA306" s="524">
        <f>Z306+'Datu ievade'!Z229</f>
        <v>4480891</v>
      </c>
      <c r="AB306" s="524">
        <f>AA306+'Datu ievade'!AA229</f>
        <v>4480891</v>
      </c>
      <c r="AC306" s="524">
        <f>AB306+'Datu ievade'!AB229</f>
        <v>4480891</v>
      </c>
      <c r="AD306" s="524">
        <f>AC306+'Datu ievade'!AC229</f>
        <v>4480891</v>
      </c>
      <c r="AE306" s="524">
        <f>AD306+'Datu ievade'!AD229</f>
        <v>4480891</v>
      </c>
      <c r="AF306" s="524">
        <f>AE306+'Datu ievade'!AE229</f>
        <v>4480891</v>
      </c>
      <c r="AG306" s="524">
        <f>AF306+'Datu ievade'!AF229</f>
        <v>4480891</v>
      </c>
      <c r="AH306" s="524">
        <f>AG306+'Datu ievade'!AG229</f>
        <v>4480891</v>
      </c>
      <c r="AK306" s="110"/>
      <c r="AM306" s="110"/>
      <c r="AO306" s="110"/>
      <c r="AQ306" s="110"/>
      <c r="AT306" s="300"/>
      <c r="AU306" s="300"/>
    </row>
    <row r="307" spans="1:47" x14ac:dyDescent="0.2">
      <c r="A307" s="30" t="s">
        <v>613</v>
      </c>
      <c r="B307" s="524">
        <f>B308+B309</f>
        <v>-528844.68160000013</v>
      </c>
      <c r="C307" s="524">
        <f>C308+C309</f>
        <v>-546399.47408387018</v>
      </c>
      <c r="D307" s="524">
        <f t="shared" ref="D307:AH307" si="137">D308+D309</f>
        <v>-520400.52374404983</v>
      </c>
      <c r="E307" s="524">
        <f t="shared" si="137"/>
        <v>-465613.90230512753</v>
      </c>
      <c r="F307" s="524">
        <f t="shared" si="137"/>
        <v>-409928.37162994716</v>
      </c>
      <c r="G307" s="524">
        <f t="shared" si="137"/>
        <v>-353353.71078711824</v>
      </c>
      <c r="H307" s="524">
        <f>H308+H309</f>
        <v>-296138.44606196589</v>
      </c>
      <c r="I307" s="524">
        <f>I308+I309</f>
        <v>-238284.18881503661</v>
      </c>
      <c r="J307" s="524">
        <f>J308+J309</f>
        <v>-175972.85159378842</v>
      </c>
      <c r="K307" s="524">
        <f>K308+K309</f>
        <v>-112672.95811821759</v>
      </c>
      <c r="L307" s="524">
        <f t="shared" si="137"/>
        <v>-48452.022002143902</v>
      </c>
      <c r="M307" s="524">
        <f t="shared" si="137"/>
        <v>16341.533021887008</v>
      </c>
      <c r="N307" s="524">
        <f t="shared" si="137"/>
        <v>81407.12199946068</v>
      </c>
      <c r="O307" s="524">
        <f t="shared" si="137"/>
        <v>145478.16092542253</v>
      </c>
      <c r="P307" s="524">
        <f t="shared" si="137"/>
        <v>210433.80673415615</v>
      </c>
      <c r="Q307" s="524">
        <f t="shared" si="137"/>
        <v>278821.64107620262</v>
      </c>
      <c r="R307" s="524">
        <f t="shared" si="137"/>
        <v>345706.12378705101</v>
      </c>
      <c r="S307" s="524">
        <f t="shared" si="137"/>
        <v>417133.39855978498</v>
      </c>
      <c r="T307" s="524">
        <f t="shared" si="137"/>
        <v>485137.75254074181</v>
      </c>
      <c r="U307" s="524">
        <f t="shared" si="137"/>
        <v>554247.12289246905</v>
      </c>
      <c r="V307" s="524">
        <f t="shared" si="137"/>
        <v>624940.68553150399</v>
      </c>
      <c r="W307" s="524">
        <f t="shared" si="137"/>
        <v>696937.6882738556</v>
      </c>
      <c r="X307" s="524">
        <f t="shared" si="137"/>
        <v>772664.52636297443</v>
      </c>
      <c r="Y307" s="524">
        <f t="shared" si="137"/>
        <v>849694.80455540947</v>
      </c>
      <c r="Z307" s="524">
        <f t="shared" si="137"/>
        <v>927680.09911861503</v>
      </c>
      <c r="AA307" s="524">
        <f t="shared" si="137"/>
        <v>1006968.8337851367</v>
      </c>
      <c r="AB307" s="524">
        <f t="shared" si="137"/>
        <v>1087491.9235806093</v>
      </c>
      <c r="AC307" s="524">
        <f t="shared" si="137"/>
        <v>1171470.4389255377</v>
      </c>
      <c r="AD307" s="524">
        <f t="shared" si="137"/>
        <v>1271177.259622802</v>
      </c>
      <c r="AE307" s="524">
        <f t="shared" si="137"/>
        <v>1372191.1210415608</v>
      </c>
      <c r="AF307" s="524">
        <f t="shared" si="137"/>
        <v>1465616.9798658942</v>
      </c>
      <c r="AG307" s="524">
        <f t="shared" si="137"/>
        <v>1560515.4245025353</v>
      </c>
      <c r="AH307" s="524">
        <f t="shared" si="137"/>
        <v>1656886.454951484</v>
      </c>
      <c r="AK307" s="110"/>
      <c r="AM307" s="110"/>
      <c r="AO307" s="110"/>
      <c r="AQ307" s="110"/>
      <c r="AT307" s="300"/>
      <c r="AU307" s="300"/>
    </row>
    <row r="308" spans="1:47" x14ac:dyDescent="0.2">
      <c r="A308" s="575" t="s">
        <v>614</v>
      </c>
      <c r="B308" s="524">
        <f>Aprēķini!B290</f>
        <v>-57124.681600000098</v>
      </c>
      <c r="C308" s="524">
        <f>Aprēķini!C290</f>
        <v>-17554.792483870027</v>
      </c>
      <c r="D308" s="524">
        <f>Aprēķini!D290</f>
        <v>25998.950339820352</v>
      </c>
      <c r="E308" s="524">
        <f>Aprēķini!E290</f>
        <v>54786.621438922302</v>
      </c>
      <c r="F308" s="524">
        <f>Aprēķini!F290</f>
        <v>55685.530675180373</v>
      </c>
      <c r="G308" s="524">
        <f>Aprēķini!G290</f>
        <v>56574.660842828918</v>
      </c>
      <c r="H308" s="524">
        <f>Aprēķini!H290</f>
        <v>57215.264725152345</v>
      </c>
      <c r="I308" s="524">
        <f>Aprēķini!I290</f>
        <v>57854.257246929279</v>
      </c>
      <c r="J308" s="524">
        <f>Aprēķini!J290</f>
        <v>62311.337221248192</v>
      </c>
      <c r="K308" s="524">
        <f>Aprēķini!K290</f>
        <v>63299.893475570832</v>
      </c>
      <c r="L308" s="524">
        <f>Aprēķini!L290</f>
        <v>64220.936116073688</v>
      </c>
      <c r="M308" s="524">
        <f>Aprēķini!M290</f>
        <v>64793.555024030909</v>
      </c>
      <c r="N308" s="524">
        <f>Aprēķini!N290</f>
        <v>65065.588977573672</v>
      </c>
      <c r="O308" s="524">
        <f>Aprēķini!O290</f>
        <v>64071.038925961853</v>
      </c>
      <c r="P308" s="524">
        <f>Aprēķini!P290</f>
        <v>64955.645808733621</v>
      </c>
      <c r="Q308" s="524">
        <f>Aprēķini!Q290</f>
        <v>68387.834342046495</v>
      </c>
      <c r="R308" s="524">
        <f>Aprēķini!R290</f>
        <v>66884.482710848388</v>
      </c>
      <c r="S308" s="524">
        <f>Aprēķini!S290</f>
        <v>71427.274772733945</v>
      </c>
      <c r="T308" s="524">
        <f>Aprēķini!T290</f>
        <v>68004.353980956832</v>
      </c>
      <c r="U308" s="524">
        <f>Aprēķini!U290</f>
        <v>69109.370351727208</v>
      </c>
      <c r="V308" s="524">
        <f>Aprēķini!V290</f>
        <v>70693.562639034877</v>
      </c>
      <c r="W308" s="524">
        <f>Aprēķini!W290</f>
        <v>71997.002742351644</v>
      </c>
      <c r="X308" s="524">
        <f>Aprēķini!X290</f>
        <v>75726.838089118828</v>
      </c>
      <c r="Y308" s="524">
        <f>Aprēķini!Y290</f>
        <v>77030.278192435013</v>
      </c>
      <c r="Z308" s="524">
        <f>Aprēķini!Z290</f>
        <v>77985.294563205505</v>
      </c>
      <c r="AA308" s="524">
        <f>Aprēķini!AA290</f>
        <v>79288.73466652169</v>
      </c>
      <c r="AB308" s="524">
        <f>Aprēķini!AB290</f>
        <v>80523.089795472566</v>
      </c>
      <c r="AC308" s="524">
        <f>Aprēķini!AC290</f>
        <v>83978.515344928455</v>
      </c>
      <c r="AD308" s="524">
        <f>Aprēķini!AD290</f>
        <v>99706.820697264222</v>
      </c>
      <c r="AE308" s="524">
        <f>Aprēķini!AE290</f>
        <v>101013.86141875866</v>
      </c>
      <c r="AF308" s="524">
        <f>Aprēķini!AF290</f>
        <v>93425.858824333525</v>
      </c>
      <c r="AG308" s="524">
        <f>Aprēķini!AG290</f>
        <v>94898.444636641158</v>
      </c>
      <c r="AH308" s="524">
        <f>Aprēķini!AH290</f>
        <v>96371.03044894879</v>
      </c>
      <c r="AK308" s="110"/>
      <c r="AM308" s="110"/>
      <c r="AO308" s="110"/>
      <c r="AQ308" s="110"/>
      <c r="AT308" s="300"/>
      <c r="AU308" s="300"/>
    </row>
    <row r="309" spans="1:47" x14ac:dyDescent="0.2">
      <c r="A309" s="575" t="s">
        <v>615</v>
      </c>
      <c r="B309" s="524">
        <f>'Datu ievade'!B243</f>
        <v>-471720</v>
      </c>
      <c r="C309" s="524">
        <f>B308+B309</f>
        <v>-528844.68160000013</v>
      </c>
      <c r="D309" s="524">
        <f t="shared" ref="D309:AG309" si="138">C309+C308</f>
        <v>-546399.47408387018</v>
      </c>
      <c r="E309" s="524">
        <f t="shared" si="138"/>
        <v>-520400.52374404983</v>
      </c>
      <c r="F309" s="524">
        <f t="shared" si="138"/>
        <v>-465613.90230512753</v>
      </c>
      <c r="G309" s="524">
        <f t="shared" si="138"/>
        <v>-409928.37162994716</v>
      </c>
      <c r="H309" s="524">
        <f>G309+G308</f>
        <v>-353353.71078711824</v>
      </c>
      <c r="I309" s="524">
        <f>H309+H308</f>
        <v>-296138.44606196589</v>
      </c>
      <c r="J309" s="524">
        <f>I309+I308</f>
        <v>-238284.18881503661</v>
      </c>
      <c r="K309" s="524">
        <f>J309+J308</f>
        <v>-175972.85159378842</v>
      </c>
      <c r="L309" s="524">
        <f t="shared" si="138"/>
        <v>-112672.95811821759</v>
      </c>
      <c r="M309" s="524">
        <f t="shared" si="138"/>
        <v>-48452.022002143902</v>
      </c>
      <c r="N309" s="524">
        <f t="shared" si="138"/>
        <v>16341.533021887008</v>
      </c>
      <c r="O309" s="524">
        <f t="shared" si="138"/>
        <v>81407.12199946068</v>
      </c>
      <c r="P309" s="524">
        <f t="shared" si="138"/>
        <v>145478.16092542253</v>
      </c>
      <c r="Q309" s="524">
        <f t="shared" si="138"/>
        <v>210433.80673415615</v>
      </c>
      <c r="R309" s="524">
        <f t="shared" si="138"/>
        <v>278821.64107620262</v>
      </c>
      <c r="S309" s="524">
        <f t="shared" si="138"/>
        <v>345706.12378705101</v>
      </c>
      <c r="T309" s="524">
        <f t="shared" si="138"/>
        <v>417133.39855978498</v>
      </c>
      <c r="U309" s="524">
        <f t="shared" si="138"/>
        <v>485137.75254074181</v>
      </c>
      <c r="V309" s="524">
        <f t="shared" si="138"/>
        <v>554247.12289246905</v>
      </c>
      <c r="W309" s="524">
        <f t="shared" si="138"/>
        <v>624940.68553150399</v>
      </c>
      <c r="X309" s="524">
        <f t="shared" si="138"/>
        <v>696937.6882738556</v>
      </c>
      <c r="Y309" s="524">
        <f t="shared" si="138"/>
        <v>772664.52636297443</v>
      </c>
      <c r="Z309" s="524">
        <f t="shared" si="138"/>
        <v>849694.80455540947</v>
      </c>
      <c r="AA309" s="524">
        <f t="shared" si="138"/>
        <v>927680.09911861503</v>
      </c>
      <c r="AB309" s="524">
        <f t="shared" si="138"/>
        <v>1006968.8337851367</v>
      </c>
      <c r="AC309" s="524">
        <f t="shared" si="138"/>
        <v>1087491.9235806093</v>
      </c>
      <c r="AD309" s="524">
        <f t="shared" si="138"/>
        <v>1171470.4389255377</v>
      </c>
      <c r="AE309" s="524">
        <f t="shared" si="138"/>
        <v>1271177.259622802</v>
      </c>
      <c r="AF309" s="524">
        <f t="shared" si="138"/>
        <v>1372191.1210415608</v>
      </c>
      <c r="AG309" s="524">
        <f t="shared" si="138"/>
        <v>1465616.9798658942</v>
      </c>
      <c r="AH309" s="524">
        <f>AG309+AG308</f>
        <v>1560515.4245025353</v>
      </c>
      <c r="AK309" s="110"/>
      <c r="AM309" s="110"/>
      <c r="AO309" s="110"/>
      <c r="AQ309" s="110"/>
      <c r="AT309" s="300"/>
      <c r="AU309" s="300"/>
    </row>
    <row r="310" spans="1:47" x14ac:dyDescent="0.2">
      <c r="A310" s="523" t="s">
        <v>616</v>
      </c>
      <c r="B310" s="525">
        <f>B303-B305-B313-B312</f>
        <v>3528564.0300000007</v>
      </c>
      <c r="C310" s="525">
        <f>C303-C305-C313</f>
        <v>4728047.0004656259</v>
      </c>
      <c r="D310" s="525">
        <f t="shared" ref="D310:AH310" si="139">D303-D305-D313</f>
        <v>4744945.3593110666</v>
      </c>
      <c r="E310" s="525">
        <f t="shared" si="139"/>
        <v>4713640.0381503748</v>
      </c>
      <c r="F310" s="525">
        <f t="shared" si="139"/>
        <v>4705659.4492837088</v>
      </c>
      <c r="G310" s="525">
        <f t="shared" si="139"/>
        <v>4697678.8604170419</v>
      </c>
      <c r="H310" s="525">
        <f t="shared" si="139"/>
        <v>4689698.2715503741</v>
      </c>
      <c r="I310" s="525">
        <f t="shared" si="139"/>
        <v>4681717.6826837072</v>
      </c>
      <c r="J310" s="525">
        <f t="shared" si="139"/>
        <v>4674750.1794046098</v>
      </c>
      <c r="K310" s="525">
        <f t="shared" si="139"/>
        <v>4666769.5905379429</v>
      </c>
      <c r="L310" s="525">
        <f t="shared" si="139"/>
        <v>4658789.0016712761</v>
      </c>
      <c r="M310" s="525">
        <f t="shared" si="139"/>
        <v>4650983.5132942963</v>
      </c>
      <c r="N310" s="525">
        <f t="shared" si="139"/>
        <v>4648695.7709482089</v>
      </c>
      <c r="O310" s="525">
        <f t="shared" si="139"/>
        <v>4640715.1820815429</v>
      </c>
      <c r="P310" s="525">
        <f t="shared" si="139"/>
        <v>4632734.593214876</v>
      </c>
      <c r="Q310" s="525">
        <f t="shared" si="139"/>
        <v>4624754.0043482091</v>
      </c>
      <c r="R310" s="525">
        <f t="shared" si="139"/>
        <v>4616773.4154815422</v>
      </c>
      <c r="S310" s="525">
        <f t="shared" si="139"/>
        <v>4608792.8266148763</v>
      </c>
      <c r="T310" s="525">
        <f t="shared" si="139"/>
        <v>4600812.2377482094</v>
      </c>
      <c r="U310" s="525">
        <f t="shared" si="139"/>
        <v>4592831.6488815425</v>
      </c>
      <c r="V310" s="525">
        <f t="shared" si="139"/>
        <v>4584851.0600148765</v>
      </c>
      <c r="W310" s="525">
        <f t="shared" si="139"/>
        <v>4576870.4711482096</v>
      </c>
      <c r="X310" s="525">
        <f t="shared" si="139"/>
        <v>4568889.8822815428</v>
      </c>
      <c r="Y310" s="525">
        <f t="shared" si="139"/>
        <v>4560909.2934148759</v>
      </c>
      <c r="Z310" s="525">
        <f t="shared" si="139"/>
        <v>4552928.7045482108</v>
      </c>
      <c r="AA310" s="525">
        <f t="shared" si="139"/>
        <v>4544948.1156815412</v>
      </c>
      <c r="AB310" s="525">
        <f t="shared" si="139"/>
        <v>4536967.5268148771</v>
      </c>
      <c r="AC310" s="525">
        <f t="shared" si="139"/>
        <v>4528986.9379482092</v>
      </c>
      <c r="AD310" s="525">
        <f t="shared" si="139"/>
        <v>4521006.3490815423</v>
      </c>
      <c r="AE310" s="525">
        <f t="shared" si="139"/>
        <v>4513025.7602148755</v>
      </c>
      <c r="AF310" s="525">
        <f t="shared" si="139"/>
        <v>4505045.1713482095</v>
      </c>
      <c r="AG310" s="525">
        <f t="shared" si="139"/>
        <v>4497064.5824815435</v>
      </c>
      <c r="AH310" s="525">
        <f t="shared" si="139"/>
        <v>4506208.240209898</v>
      </c>
      <c r="AK310" s="110"/>
      <c r="AM310" s="110"/>
      <c r="AO310" s="110"/>
      <c r="AQ310" s="110"/>
      <c r="AT310" s="300"/>
      <c r="AU310" s="300"/>
    </row>
    <row r="311" spans="1:47" x14ac:dyDescent="0.2">
      <c r="A311" s="569" t="s">
        <v>617</v>
      </c>
      <c r="B311" s="524">
        <f>B255</f>
        <v>248516.8</v>
      </c>
      <c r="C311" s="524">
        <f>C255</f>
        <v>91482.2</v>
      </c>
      <c r="D311" s="524">
        <f>D255</f>
        <v>239416.73</v>
      </c>
      <c r="E311" s="524">
        <f>D311-E314</f>
        <v>231436.17233333335</v>
      </c>
      <c r="F311" s="524">
        <f t="shared" ref="F311:AH311" si="140">E311-F314</f>
        <v>223455.61466666669</v>
      </c>
      <c r="G311" s="524">
        <f t="shared" si="140"/>
        <v>215475.05700000003</v>
      </c>
      <c r="H311" s="524">
        <f t="shared" si="140"/>
        <v>207494.49933333337</v>
      </c>
      <c r="I311" s="524">
        <f t="shared" si="140"/>
        <v>199513.94166666671</v>
      </c>
      <c r="J311" s="524">
        <f t="shared" si="140"/>
        <v>191533.38400000005</v>
      </c>
      <c r="K311" s="524">
        <f t="shared" si="140"/>
        <v>183552.82633333339</v>
      </c>
      <c r="L311" s="524">
        <f t="shared" si="140"/>
        <v>175572.26866666673</v>
      </c>
      <c r="M311" s="524">
        <f t="shared" si="140"/>
        <v>167591.71100000007</v>
      </c>
      <c r="N311" s="524">
        <f t="shared" si="140"/>
        <v>159611.15333333341</v>
      </c>
      <c r="O311" s="524">
        <f t="shared" si="140"/>
        <v>151630.59566666675</v>
      </c>
      <c r="P311" s="524">
        <f t="shared" si="140"/>
        <v>143650.03800000009</v>
      </c>
      <c r="Q311" s="524">
        <f t="shared" si="140"/>
        <v>135669.48033333343</v>
      </c>
      <c r="R311" s="524">
        <f t="shared" si="140"/>
        <v>127688.92266666677</v>
      </c>
      <c r="S311" s="524">
        <f t="shared" si="140"/>
        <v>119708.36500000011</v>
      </c>
      <c r="T311" s="524">
        <f t="shared" si="140"/>
        <v>111727.80733333345</v>
      </c>
      <c r="U311" s="524">
        <f t="shared" si="140"/>
        <v>103747.24966666679</v>
      </c>
      <c r="V311" s="524">
        <f t="shared" si="140"/>
        <v>95766.692000000126</v>
      </c>
      <c r="W311" s="524">
        <f t="shared" si="140"/>
        <v>87786.134333333466</v>
      </c>
      <c r="X311" s="524">
        <f t="shared" si="140"/>
        <v>79805.576666666806</v>
      </c>
      <c r="Y311" s="524">
        <f t="shared" si="140"/>
        <v>71825.019000000146</v>
      </c>
      <c r="Z311" s="524">
        <f t="shared" si="140"/>
        <v>63844.461333333478</v>
      </c>
      <c r="AA311" s="524">
        <f t="shared" si="140"/>
        <v>55863.903666666811</v>
      </c>
      <c r="AB311" s="524">
        <f t="shared" si="140"/>
        <v>47883.346000000143</v>
      </c>
      <c r="AC311" s="524">
        <f t="shared" si="140"/>
        <v>39902.788333333476</v>
      </c>
      <c r="AD311" s="524">
        <f t="shared" si="140"/>
        <v>31922.230666666808</v>
      </c>
      <c r="AE311" s="524">
        <f t="shared" si="140"/>
        <v>23941.673000000141</v>
      </c>
      <c r="AF311" s="524">
        <f t="shared" si="140"/>
        <v>15961.115333333473</v>
      </c>
      <c r="AG311" s="524">
        <f t="shared" si="140"/>
        <v>7980.5576666668067</v>
      </c>
      <c r="AH311" s="524">
        <f t="shared" si="140"/>
        <v>1.4006218407303095E-10</v>
      </c>
      <c r="AK311" s="110"/>
      <c r="AM311" s="110"/>
      <c r="AO311" s="110"/>
      <c r="AQ311" s="110"/>
      <c r="AT311" s="300"/>
      <c r="AU311" s="300"/>
    </row>
    <row r="312" spans="1:47" x14ac:dyDescent="0.2">
      <c r="A312" s="575" t="s">
        <v>618</v>
      </c>
      <c r="B312" s="524">
        <f t="shared" ref="B312:G312" si="141">B322</f>
        <v>352022.34906969237</v>
      </c>
      <c r="C312" s="524">
        <f t="shared" si="141"/>
        <v>559413.34906969243</v>
      </c>
      <c r="D312" s="524">
        <f t="shared" si="141"/>
        <v>885571.59530626598</v>
      </c>
      <c r="E312" s="524">
        <f t="shared" si="141"/>
        <v>862579.40170097793</v>
      </c>
      <c r="F312" s="524">
        <f t="shared" si="141"/>
        <v>839587.20809568989</v>
      </c>
      <c r="G312" s="524">
        <f t="shared" si="141"/>
        <v>816595.01449040184</v>
      </c>
      <c r="H312" s="524">
        <f t="shared" ref="H312:AH312" si="142">H322</f>
        <v>793602.82088511379</v>
      </c>
      <c r="I312" s="524">
        <f t="shared" si="142"/>
        <v>770610.62727982574</v>
      </c>
      <c r="J312" s="524">
        <f t="shared" si="142"/>
        <v>747618.43367453769</v>
      </c>
      <c r="K312" s="524">
        <f t="shared" si="142"/>
        <v>724626.24006924964</v>
      </c>
      <c r="L312" s="524">
        <f t="shared" si="142"/>
        <v>701634.0464639616</v>
      </c>
      <c r="M312" s="524">
        <f t="shared" si="142"/>
        <v>678816.95334835863</v>
      </c>
      <c r="N312" s="524">
        <f t="shared" si="142"/>
        <v>661692.70675333671</v>
      </c>
      <c r="O312" s="524">
        <f t="shared" si="142"/>
        <v>644568.46015831479</v>
      </c>
      <c r="P312" s="524">
        <f t="shared" si="142"/>
        <v>627444.21356329287</v>
      </c>
      <c r="Q312" s="524">
        <f t="shared" si="142"/>
        <v>610319.96696827095</v>
      </c>
      <c r="R312" s="524">
        <f t="shared" si="142"/>
        <v>593195.72037324903</v>
      </c>
      <c r="S312" s="524">
        <f t="shared" si="142"/>
        <v>576071.47377822711</v>
      </c>
      <c r="T312" s="524">
        <f t="shared" si="142"/>
        <v>558947.22718320519</v>
      </c>
      <c r="U312" s="524">
        <f t="shared" si="142"/>
        <v>541822.98058818327</v>
      </c>
      <c r="V312" s="524">
        <f t="shared" si="142"/>
        <v>524698.73399316135</v>
      </c>
      <c r="W312" s="524">
        <f t="shared" si="142"/>
        <v>507574.48739813943</v>
      </c>
      <c r="X312" s="524">
        <f t="shared" si="142"/>
        <v>490450.24080311751</v>
      </c>
      <c r="Y312" s="524">
        <f t="shared" si="142"/>
        <v>473325.9942080956</v>
      </c>
      <c r="Z312" s="524">
        <f t="shared" si="142"/>
        <v>456201.74761307368</v>
      </c>
      <c r="AA312" s="524">
        <f t="shared" si="142"/>
        <v>439077.50101805176</v>
      </c>
      <c r="AB312" s="524">
        <f t="shared" si="142"/>
        <v>421953.25442302984</v>
      </c>
      <c r="AC312" s="524">
        <f t="shared" si="142"/>
        <v>404829.00782800792</v>
      </c>
      <c r="AD312" s="524">
        <f t="shared" si="142"/>
        <v>387704.761232986</v>
      </c>
      <c r="AE312" s="524">
        <f t="shared" si="142"/>
        <v>370580.51463796408</v>
      </c>
      <c r="AF312" s="524">
        <f t="shared" si="142"/>
        <v>353456.26804294216</v>
      </c>
      <c r="AG312" s="524">
        <f t="shared" si="142"/>
        <v>336332.02144792024</v>
      </c>
      <c r="AH312" s="524">
        <f t="shared" si="142"/>
        <v>336332.02144792024</v>
      </c>
      <c r="AK312" s="110"/>
      <c r="AM312" s="110"/>
      <c r="AO312" s="110"/>
      <c r="AQ312" s="110"/>
      <c r="AT312" s="300"/>
      <c r="AU312" s="300"/>
    </row>
    <row r="313" spans="1:47" x14ac:dyDescent="0.2">
      <c r="A313" s="523" t="s">
        <v>619</v>
      </c>
      <c r="B313" s="525">
        <f>B315</f>
        <v>0</v>
      </c>
      <c r="C313" s="525">
        <f t="shared" ref="C313:AH313" si="143">C315</f>
        <v>0</v>
      </c>
      <c r="D313" s="525">
        <f t="shared" si="143"/>
        <v>611.75376342647007</v>
      </c>
      <c r="E313" s="525">
        <f t="shared" si="143"/>
        <v>22992.193605288005</v>
      </c>
      <c r="F313" s="525">
        <f t="shared" si="143"/>
        <v>22992.193605288005</v>
      </c>
      <c r="G313" s="525">
        <f t="shared" si="143"/>
        <v>22992.193605288005</v>
      </c>
      <c r="H313" s="525">
        <f t="shared" si="143"/>
        <v>22992.193605288005</v>
      </c>
      <c r="I313" s="525">
        <f t="shared" si="143"/>
        <v>22992.193605288005</v>
      </c>
      <c r="J313" s="525">
        <f t="shared" si="143"/>
        <v>22992.193605288005</v>
      </c>
      <c r="K313" s="525">
        <f t="shared" si="143"/>
        <v>22992.193605288005</v>
      </c>
      <c r="L313" s="525">
        <f t="shared" si="143"/>
        <v>22992.193605288005</v>
      </c>
      <c r="M313" s="525">
        <f t="shared" si="143"/>
        <v>22817.093115603006</v>
      </c>
      <c r="N313" s="525">
        <f t="shared" si="143"/>
        <v>17124.246595021898</v>
      </c>
      <c r="O313" s="525">
        <f t="shared" si="143"/>
        <v>17124.246595021898</v>
      </c>
      <c r="P313" s="525">
        <f t="shared" si="143"/>
        <v>17124.246595021898</v>
      </c>
      <c r="Q313" s="525">
        <f t="shared" si="143"/>
        <v>17124.246595021898</v>
      </c>
      <c r="R313" s="525">
        <f t="shared" si="143"/>
        <v>17124.246595021898</v>
      </c>
      <c r="S313" s="525">
        <f t="shared" si="143"/>
        <v>17124.246595021898</v>
      </c>
      <c r="T313" s="525">
        <f t="shared" si="143"/>
        <v>17124.246595021898</v>
      </c>
      <c r="U313" s="525">
        <f t="shared" si="143"/>
        <v>17124.246595021898</v>
      </c>
      <c r="V313" s="525">
        <f t="shared" si="143"/>
        <v>17124.246595021898</v>
      </c>
      <c r="W313" s="525">
        <f t="shared" si="143"/>
        <v>17124.246595021898</v>
      </c>
      <c r="X313" s="525">
        <f t="shared" si="143"/>
        <v>17124.246595021898</v>
      </c>
      <c r="Y313" s="525">
        <f t="shared" si="143"/>
        <v>17124.246595021898</v>
      </c>
      <c r="Z313" s="525">
        <f t="shared" si="143"/>
        <v>17124.246595021898</v>
      </c>
      <c r="AA313" s="525">
        <f t="shared" si="143"/>
        <v>17124.246595021898</v>
      </c>
      <c r="AB313" s="525">
        <f t="shared" si="143"/>
        <v>17124.246595021898</v>
      </c>
      <c r="AC313" s="525">
        <f t="shared" si="143"/>
        <v>17124.246595021898</v>
      </c>
      <c r="AD313" s="525">
        <f t="shared" si="143"/>
        <v>17124.246595021898</v>
      </c>
      <c r="AE313" s="525">
        <f t="shared" si="143"/>
        <v>17124.246595021898</v>
      </c>
      <c r="AF313" s="525">
        <f t="shared" si="143"/>
        <v>17124.246595021898</v>
      </c>
      <c r="AG313" s="525">
        <f t="shared" si="143"/>
        <v>17124.246595021898</v>
      </c>
      <c r="AH313" s="525">
        <f t="shared" si="143"/>
        <v>0</v>
      </c>
      <c r="AK313" s="110"/>
      <c r="AM313" s="110"/>
      <c r="AO313" s="110"/>
      <c r="AQ313" s="110"/>
      <c r="AT313" s="300"/>
      <c r="AU313" s="300"/>
    </row>
    <row r="314" spans="1:47" x14ac:dyDescent="0.2">
      <c r="A314" s="569" t="s">
        <v>617</v>
      </c>
      <c r="B314" s="524">
        <f>B258</f>
        <v>0</v>
      </c>
      <c r="C314" s="524">
        <f t="shared" ref="C314:AH314" si="144">C258</f>
        <v>0</v>
      </c>
      <c r="D314" s="524">
        <f t="shared" si="144"/>
        <v>0</v>
      </c>
      <c r="E314" s="524">
        <f t="shared" si="144"/>
        <v>7980.5576666666666</v>
      </c>
      <c r="F314" s="524">
        <f t="shared" si="144"/>
        <v>7980.5576666666666</v>
      </c>
      <c r="G314" s="524">
        <f t="shared" si="144"/>
        <v>7980.5576666666666</v>
      </c>
      <c r="H314" s="524">
        <f t="shared" si="144"/>
        <v>7980.5576666666666</v>
      </c>
      <c r="I314" s="524">
        <f t="shared" si="144"/>
        <v>7980.5576666666666</v>
      </c>
      <c r="J314" s="524">
        <f t="shared" si="144"/>
        <v>7980.5576666666666</v>
      </c>
      <c r="K314" s="524">
        <f t="shared" si="144"/>
        <v>7980.5576666666666</v>
      </c>
      <c r="L314" s="524">
        <f t="shared" si="144"/>
        <v>7980.5576666666666</v>
      </c>
      <c r="M314" s="524">
        <f t="shared" si="144"/>
        <v>7980.5576666666666</v>
      </c>
      <c r="N314" s="524">
        <f t="shared" si="144"/>
        <v>7980.5576666666666</v>
      </c>
      <c r="O314" s="524">
        <f t="shared" si="144"/>
        <v>7980.5576666666666</v>
      </c>
      <c r="P314" s="524">
        <f t="shared" si="144"/>
        <v>7980.5576666666666</v>
      </c>
      <c r="Q314" s="524">
        <f t="shared" si="144"/>
        <v>7980.5576666666666</v>
      </c>
      <c r="R314" s="524">
        <f t="shared" si="144"/>
        <v>7980.5576666666666</v>
      </c>
      <c r="S314" s="524">
        <f t="shared" si="144"/>
        <v>7980.5576666666666</v>
      </c>
      <c r="T314" s="524">
        <f t="shared" si="144"/>
        <v>7980.5576666666666</v>
      </c>
      <c r="U314" s="524">
        <f t="shared" si="144"/>
        <v>7980.5576666666666</v>
      </c>
      <c r="V314" s="524">
        <f t="shared" si="144"/>
        <v>7980.5576666666666</v>
      </c>
      <c r="W314" s="524">
        <f t="shared" si="144"/>
        <v>7980.5576666666666</v>
      </c>
      <c r="X314" s="524">
        <f t="shared" si="144"/>
        <v>7980.5576666666666</v>
      </c>
      <c r="Y314" s="524">
        <f t="shared" si="144"/>
        <v>7980.5576666666666</v>
      </c>
      <c r="Z314" s="524">
        <f t="shared" si="144"/>
        <v>7980.5576666666666</v>
      </c>
      <c r="AA314" s="524">
        <f t="shared" si="144"/>
        <v>7980.5576666666666</v>
      </c>
      <c r="AB314" s="524">
        <f t="shared" si="144"/>
        <v>7980.5576666666666</v>
      </c>
      <c r="AC314" s="524">
        <f t="shared" si="144"/>
        <v>7980.5576666666666</v>
      </c>
      <c r="AD314" s="524">
        <f t="shared" si="144"/>
        <v>7980.5576666666666</v>
      </c>
      <c r="AE314" s="524">
        <f t="shared" si="144"/>
        <v>7980.5576666666666</v>
      </c>
      <c r="AF314" s="524">
        <f t="shared" si="144"/>
        <v>7980.5576666666666</v>
      </c>
      <c r="AG314" s="524">
        <f t="shared" si="144"/>
        <v>7980.5576666666666</v>
      </c>
      <c r="AH314" s="524">
        <f t="shared" si="144"/>
        <v>7980.5576666666666</v>
      </c>
      <c r="AK314" s="110"/>
      <c r="AM314" s="110"/>
      <c r="AO314" s="110"/>
      <c r="AQ314" s="110"/>
      <c r="AT314" s="300"/>
      <c r="AU314" s="300"/>
    </row>
    <row r="315" spans="1:47" x14ac:dyDescent="0.2">
      <c r="A315" s="575" t="s">
        <v>618</v>
      </c>
      <c r="B315" s="524">
        <f>B323</f>
        <v>0</v>
      </c>
      <c r="C315" s="524">
        <f t="shared" ref="C315:AH315" si="145">C323</f>
        <v>0</v>
      </c>
      <c r="D315" s="524">
        <f t="shared" si="145"/>
        <v>611.75376342647007</v>
      </c>
      <c r="E315" s="524">
        <f>E323</f>
        <v>22992.193605288005</v>
      </c>
      <c r="F315" s="524">
        <f t="shared" si="145"/>
        <v>22992.193605288005</v>
      </c>
      <c r="G315" s="524">
        <f t="shared" si="145"/>
        <v>22992.193605288005</v>
      </c>
      <c r="H315" s="524">
        <f>H323</f>
        <v>22992.193605288005</v>
      </c>
      <c r="I315" s="524">
        <f>I323</f>
        <v>22992.193605288005</v>
      </c>
      <c r="J315" s="524">
        <f>J323</f>
        <v>22992.193605288005</v>
      </c>
      <c r="K315" s="524">
        <f>K323</f>
        <v>22992.193605288005</v>
      </c>
      <c r="L315" s="524">
        <f t="shared" si="145"/>
        <v>22992.193605288005</v>
      </c>
      <c r="M315" s="524">
        <f t="shared" si="145"/>
        <v>22817.093115603006</v>
      </c>
      <c r="N315" s="524">
        <f t="shared" si="145"/>
        <v>17124.246595021898</v>
      </c>
      <c r="O315" s="524">
        <f t="shared" si="145"/>
        <v>17124.246595021898</v>
      </c>
      <c r="P315" s="524">
        <f t="shared" si="145"/>
        <v>17124.246595021898</v>
      </c>
      <c r="Q315" s="524">
        <f t="shared" si="145"/>
        <v>17124.246595021898</v>
      </c>
      <c r="R315" s="524">
        <f t="shared" si="145"/>
        <v>17124.246595021898</v>
      </c>
      <c r="S315" s="524">
        <f t="shared" si="145"/>
        <v>17124.246595021898</v>
      </c>
      <c r="T315" s="524">
        <f t="shared" si="145"/>
        <v>17124.246595021898</v>
      </c>
      <c r="U315" s="524">
        <f t="shared" si="145"/>
        <v>17124.246595021898</v>
      </c>
      <c r="V315" s="524">
        <f t="shared" si="145"/>
        <v>17124.246595021898</v>
      </c>
      <c r="W315" s="524">
        <f t="shared" si="145"/>
        <v>17124.246595021898</v>
      </c>
      <c r="X315" s="524">
        <f t="shared" si="145"/>
        <v>17124.246595021898</v>
      </c>
      <c r="Y315" s="524">
        <f t="shared" si="145"/>
        <v>17124.246595021898</v>
      </c>
      <c r="Z315" s="524">
        <f t="shared" si="145"/>
        <v>17124.246595021898</v>
      </c>
      <c r="AA315" s="524">
        <f t="shared" si="145"/>
        <v>17124.246595021898</v>
      </c>
      <c r="AB315" s="524">
        <f t="shared" si="145"/>
        <v>17124.246595021898</v>
      </c>
      <c r="AC315" s="524">
        <f t="shared" si="145"/>
        <v>17124.246595021898</v>
      </c>
      <c r="AD315" s="524">
        <f t="shared" si="145"/>
        <v>17124.246595021898</v>
      </c>
      <c r="AE315" s="524">
        <f t="shared" si="145"/>
        <v>17124.246595021898</v>
      </c>
      <c r="AF315" s="524">
        <f t="shared" si="145"/>
        <v>17124.246595021898</v>
      </c>
      <c r="AG315" s="524">
        <f t="shared" si="145"/>
        <v>17124.246595021898</v>
      </c>
      <c r="AH315" s="524">
        <f t="shared" si="145"/>
        <v>0</v>
      </c>
      <c r="AK315" s="110"/>
      <c r="AM315" s="110"/>
      <c r="AO315" s="110"/>
      <c r="AQ315" s="110"/>
      <c r="AT315" s="300"/>
      <c r="AU315" s="300"/>
    </row>
    <row r="316" spans="1:47" x14ac:dyDescent="0.2">
      <c r="A316" s="523" t="s">
        <v>620</v>
      </c>
      <c r="B316" s="525">
        <f t="shared" ref="B316:AH316" si="146">SUM(B305,B310,B313)</f>
        <v>7480610.3484000005</v>
      </c>
      <c r="C316" s="525">
        <f t="shared" si="146"/>
        <v>8662538.5263817552</v>
      </c>
      <c r="D316" s="525">
        <f t="shared" si="146"/>
        <v>8706047.5893304422</v>
      </c>
      <c r="E316" s="525">
        <f t="shared" si="146"/>
        <v>8751909.3294505365</v>
      </c>
      <c r="F316" s="525">
        <f t="shared" si="146"/>
        <v>8799614.2712590508</v>
      </c>
      <c r="G316" s="525">
        <f t="shared" si="146"/>
        <v>8848208.3432352133</v>
      </c>
      <c r="H316" s="525">
        <f t="shared" si="146"/>
        <v>8897443.019093696</v>
      </c>
      <c r="I316" s="525">
        <f t="shared" si="146"/>
        <v>8947316.6874739602</v>
      </c>
      <c r="J316" s="525">
        <f t="shared" si="146"/>
        <v>9002660.5214161091</v>
      </c>
      <c r="K316" s="525">
        <f t="shared" si="146"/>
        <v>9057979.8260250129</v>
      </c>
      <c r="L316" s="525">
        <f t="shared" si="146"/>
        <v>9114220.1732744202</v>
      </c>
      <c r="M316" s="525">
        <f t="shared" si="146"/>
        <v>9171033.1394317877</v>
      </c>
      <c r="N316" s="525">
        <f t="shared" si="146"/>
        <v>9228118.1395426914</v>
      </c>
      <c r="O316" s="525">
        <f t="shared" si="146"/>
        <v>9284208.5896019861</v>
      </c>
      <c r="P316" s="525">
        <f t="shared" si="146"/>
        <v>9341183.6465440542</v>
      </c>
      <c r="Q316" s="525">
        <f t="shared" si="146"/>
        <v>9401590.892019432</v>
      </c>
      <c r="R316" s="525">
        <f t="shared" si="146"/>
        <v>9460494.7858636156</v>
      </c>
      <c r="S316" s="525">
        <f t="shared" si="146"/>
        <v>9523941.4717696831</v>
      </c>
      <c r="T316" s="525">
        <f t="shared" si="146"/>
        <v>9583965.2368839718</v>
      </c>
      <c r="U316" s="525">
        <f t="shared" si="146"/>
        <v>9645094.0183690339</v>
      </c>
      <c r="V316" s="525">
        <f t="shared" si="146"/>
        <v>9707806.9921414033</v>
      </c>
      <c r="W316" s="525">
        <f t="shared" si="146"/>
        <v>9771823.4060170874</v>
      </c>
      <c r="X316" s="525">
        <f t="shared" si="146"/>
        <v>9839569.6552395374</v>
      </c>
      <c r="Y316" s="525">
        <f t="shared" si="146"/>
        <v>9908619.3445653059</v>
      </c>
      <c r="Z316" s="525">
        <f t="shared" si="146"/>
        <v>9978624.0502618477</v>
      </c>
      <c r="AA316" s="525">
        <f t="shared" si="146"/>
        <v>10049932.196061701</v>
      </c>
      <c r="AB316" s="525">
        <f t="shared" si="146"/>
        <v>10122474.696990509</v>
      </c>
      <c r="AC316" s="525">
        <f t="shared" si="146"/>
        <v>10198472.623468768</v>
      </c>
      <c r="AD316" s="525">
        <f t="shared" si="146"/>
        <v>10290198.855299365</v>
      </c>
      <c r="AE316" s="525">
        <f t="shared" si="146"/>
        <v>10383232.127851456</v>
      </c>
      <c r="AF316" s="525">
        <f t="shared" si="146"/>
        <v>10468677.397809125</v>
      </c>
      <c r="AG316" s="525">
        <f t="shared" si="146"/>
        <v>10555595.253579099</v>
      </c>
      <c r="AH316" s="525">
        <f t="shared" si="146"/>
        <v>10643985.695161382</v>
      </c>
      <c r="AK316" s="110"/>
      <c r="AM316" s="110"/>
      <c r="AO316" s="110"/>
      <c r="AQ316" s="110"/>
      <c r="AT316" s="300"/>
      <c r="AU316" s="300"/>
    </row>
    <row r="317" spans="1:47" s="301" customFormat="1" x14ac:dyDescent="0.2">
      <c r="B317" s="274"/>
      <c r="C317" s="274"/>
      <c r="D317" s="274"/>
      <c r="E317" s="274"/>
      <c r="F317" s="274"/>
      <c r="G317" s="274"/>
      <c r="H317" s="274"/>
      <c r="I317" s="274"/>
      <c r="J317" s="274"/>
      <c r="K317" s="274"/>
      <c r="L317" s="274"/>
      <c r="M317" s="274"/>
      <c r="N317" s="274"/>
      <c r="O317" s="274"/>
      <c r="P317" s="274"/>
      <c r="Q317" s="274"/>
      <c r="R317" s="274"/>
      <c r="S317" s="274"/>
      <c r="T317" s="274"/>
      <c r="U317" s="274"/>
      <c r="V317" s="274"/>
      <c r="W317" s="274"/>
      <c r="X317" s="274"/>
      <c r="Y317" s="274"/>
      <c r="Z317" s="274"/>
      <c r="AA317" s="274"/>
      <c r="AB317" s="274"/>
      <c r="AC317" s="274"/>
      <c r="AD317" s="274"/>
      <c r="AE317" s="274"/>
      <c r="AF317" s="274"/>
      <c r="AG317" s="274"/>
      <c r="AH317" s="274"/>
      <c r="AM317" s="302"/>
      <c r="AO317" s="302"/>
      <c r="AQ317" s="302"/>
    </row>
    <row r="318" spans="1:47" s="301" customFormat="1" x14ac:dyDescent="0.2">
      <c r="B318" s="303"/>
      <c r="C318" s="303"/>
      <c r="D318" s="303"/>
      <c r="E318" s="303"/>
      <c r="F318" s="303"/>
      <c r="G318" s="303"/>
      <c r="H318" s="303"/>
      <c r="I318" s="303"/>
      <c r="J318" s="303"/>
      <c r="K318" s="303"/>
      <c r="L318" s="303"/>
      <c r="M318" s="303"/>
      <c r="N318" s="303"/>
      <c r="O318" s="303"/>
      <c r="P318" s="303"/>
      <c r="Q318" s="303"/>
      <c r="R318" s="303"/>
      <c r="S318" s="303"/>
      <c r="T318" s="303"/>
      <c r="U318" s="303"/>
      <c r="V318" s="303"/>
      <c r="W318" s="303"/>
      <c r="X318" s="303"/>
      <c r="Y318" s="303"/>
      <c r="Z318" s="303"/>
      <c r="AA318" s="303"/>
      <c r="AB318" s="303"/>
      <c r="AC318" s="303"/>
      <c r="AD318" s="303"/>
      <c r="AE318" s="303"/>
      <c r="AF318" s="303"/>
      <c r="AG318" s="303"/>
      <c r="AH318" s="303"/>
      <c r="AI318" s="302"/>
      <c r="AM318" s="302"/>
      <c r="AO318" s="302"/>
      <c r="AQ318" s="302"/>
    </row>
    <row r="319" spans="1:47" x14ac:dyDescent="0.2">
      <c r="C319" s="304"/>
      <c r="D319" s="304"/>
    </row>
    <row r="320" spans="1:47" x14ac:dyDescent="0.2">
      <c r="A320" s="118" t="s">
        <v>621</v>
      </c>
      <c r="AM320" s="110"/>
      <c r="AO320" s="110"/>
      <c r="AQ320" s="110"/>
    </row>
    <row r="321" spans="1:43" hidden="1" outlineLevel="1" x14ac:dyDescent="0.2">
      <c r="A321" s="28" t="s">
        <v>622</v>
      </c>
      <c r="B321" s="110">
        <f>SUM(Aprēķini!B161,Aprēķini!B164)</f>
        <v>352022.34906969237</v>
      </c>
      <c r="C321" s="110">
        <f>SUM(Aprēķini!C161,Aprēķini!C164)</f>
        <v>207391</v>
      </c>
      <c r="D321" s="304">
        <f>SUM(Aprēķini!D161,Aprēķini!D164)</f>
        <v>326770</v>
      </c>
      <c r="E321" s="110">
        <f>SUM(Aprēķini!E161,Aprēķini!E164)</f>
        <v>0</v>
      </c>
      <c r="F321" s="110">
        <f>SUM(Aprēķini!F161,Aprēķini!F164)</f>
        <v>0</v>
      </c>
      <c r="G321" s="110">
        <f>SUM(Aprēķini!G161,Aprēķini!G164)</f>
        <v>0</v>
      </c>
      <c r="H321" s="110">
        <f>SUM(Aprēķini!H161,Aprēķini!H164)</f>
        <v>0</v>
      </c>
      <c r="I321" s="110">
        <f>SUM(Aprēķini!I161,Aprēķini!I164)</f>
        <v>0</v>
      </c>
      <c r="J321" s="110">
        <f>SUM(Aprēķini!J161,Aprēķini!J164)</f>
        <v>0</v>
      </c>
      <c r="K321" s="110">
        <f>SUM(Aprēķini!K161,Aprēķini!K164)</f>
        <v>0</v>
      </c>
      <c r="L321" s="110">
        <f>SUM(Aprēķini!L161,Aprēķini!L164)</f>
        <v>0</v>
      </c>
      <c r="M321" s="110">
        <f>SUM(Aprēķini!M161,Aprēķini!M164)</f>
        <v>0</v>
      </c>
      <c r="N321" s="110">
        <f>SUM(Aprēķini!N161,Aprēķini!N164)</f>
        <v>0</v>
      </c>
      <c r="O321" s="110">
        <f>SUM(Aprēķini!O161,Aprēķini!O164)</f>
        <v>0</v>
      </c>
      <c r="P321" s="110">
        <f>SUM(Aprēķini!P161,Aprēķini!P164)</f>
        <v>0</v>
      </c>
      <c r="Q321" s="110">
        <f>SUM(Aprēķini!Q161,Aprēķini!Q164)</f>
        <v>0</v>
      </c>
      <c r="R321" s="110">
        <f>SUM(Aprēķini!R161,Aprēķini!R164)</f>
        <v>0</v>
      </c>
      <c r="S321" s="110">
        <f>SUM(Aprēķini!S161,Aprēķini!S164)</f>
        <v>0</v>
      </c>
      <c r="T321" s="110">
        <f>SUM(Aprēķini!T161,Aprēķini!T164)</f>
        <v>0</v>
      </c>
      <c r="U321" s="110">
        <f>SUM(Aprēķini!U161,Aprēķini!U164)</f>
        <v>0</v>
      </c>
      <c r="V321" s="110">
        <f>SUM(Aprēķini!V161,Aprēķini!V164)</f>
        <v>0</v>
      </c>
      <c r="W321" s="110">
        <f>SUM(Aprēķini!W161,Aprēķini!W164)</f>
        <v>0</v>
      </c>
      <c r="X321" s="110">
        <f>SUM(Aprēķini!X161,Aprēķini!X164)</f>
        <v>0</v>
      </c>
      <c r="Y321" s="110">
        <f>SUM(Aprēķini!Y161,Aprēķini!Y164)</f>
        <v>0</v>
      </c>
      <c r="Z321" s="110">
        <f>SUM(Aprēķini!Z161,Aprēķini!Z164)</f>
        <v>0</v>
      </c>
      <c r="AA321" s="110">
        <f>SUM(Aprēķini!AA161,Aprēķini!AA164)</f>
        <v>0</v>
      </c>
      <c r="AB321" s="110">
        <f>SUM(Aprēķini!AB161,Aprēķini!AB164)</f>
        <v>0</v>
      </c>
      <c r="AC321" s="110">
        <f>SUM(Aprēķini!AC161,Aprēķini!AC164)</f>
        <v>0</v>
      </c>
      <c r="AD321" s="110">
        <f>SUM(Aprēķini!AD161,Aprēķini!AD164)</f>
        <v>0</v>
      </c>
      <c r="AE321" s="110">
        <f>SUM(Aprēķini!AE161,Aprēķini!AE164)</f>
        <v>0</v>
      </c>
      <c r="AF321" s="110">
        <f>SUM(Aprēķini!AF161,Aprēķini!AF164)</f>
        <v>0</v>
      </c>
      <c r="AG321" s="110">
        <f>SUM(Aprēķini!AG161,Aprēķini!AG164)</f>
        <v>0</v>
      </c>
      <c r="AH321" s="110">
        <f>SUM(Aprēķini!AH161,Aprēķini!AH164)</f>
        <v>0</v>
      </c>
      <c r="AI321" s="110"/>
      <c r="AM321" s="110"/>
      <c r="AO321" s="110"/>
      <c r="AQ321" s="110"/>
    </row>
    <row r="322" spans="1:43" hidden="1" outlineLevel="1" x14ac:dyDescent="0.2">
      <c r="A322" s="28" t="s">
        <v>623</v>
      </c>
      <c r="B322" s="110">
        <f>B321-B323</f>
        <v>352022.34906969237</v>
      </c>
      <c r="C322" s="110">
        <f t="shared" ref="C322:AG322" si="147">B322+C321-C323</f>
        <v>559413.34906969243</v>
      </c>
      <c r="D322" s="304">
        <f t="shared" si="147"/>
        <v>885571.59530626598</v>
      </c>
      <c r="E322" s="110">
        <f t="shared" si="147"/>
        <v>862579.40170097793</v>
      </c>
      <c r="F322" s="110">
        <f t="shared" si="147"/>
        <v>839587.20809568989</v>
      </c>
      <c r="G322" s="110">
        <f t="shared" si="147"/>
        <v>816595.01449040184</v>
      </c>
      <c r="H322" s="110">
        <f t="shared" si="147"/>
        <v>793602.82088511379</v>
      </c>
      <c r="I322" s="110">
        <f t="shared" si="147"/>
        <v>770610.62727982574</v>
      </c>
      <c r="J322" s="110">
        <f t="shared" si="147"/>
        <v>747618.43367453769</v>
      </c>
      <c r="K322" s="110">
        <f t="shared" si="147"/>
        <v>724626.24006924964</v>
      </c>
      <c r="L322" s="110">
        <f t="shared" si="147"/>
        <v>701634.0464639616</v>
      </c>
      <c r="M322" s="110">
        <f t="shared" si="147"/>
        <v>678816.95334835863</v>
      </c>
      <c r="N322" s="110">
        <f t="shared" si="147"/>
        <v>661692.70675333671</v>
      </c>
      <c r="O322" s="110">
        <f t="shared" si="147"/>
        <v>644568.46015831479</v>
      </c>
      <c r="P322" s="110">
        <f t="shared" si="147"/>
        <v>627444.21356329287</v>
      </c>
      <c r="Q322" s="110">
        <f t="shared" si="147"/>
        <v>610319.96696827095</v>
      </c>
      <c r="R322" s="110">
        <f t="shared" si="147"/>
        <v>593195.72037324903</v>
      </c>
      <c r="S322" s="110">
        <f t="shared" si="147"/>
        <v>576071.47377822711</v>
      </c>
      <c r="T322" s="110">
        <f t="shared" si="147"/>
        <v>558947.22718320519</v>
      </c>
      <c r="U322" s="110">
        <f t="shared" si="147"/>
        <v>541822.98058818327</v>
      </c>
      <c r="V322" s="110">
        <f t="shared" si="147"/>
        <v>524698.73399316135</v>
      </c>
      <c r="W322" s="110">
        <f t="shared" si="147"/>
        <v>507574.48739813943</v>
      </c>
      <c r="X322" s="110">
        <f t="shared" si="147"/>
        <v>490450.24080311751</v>
      </c>
      <c r="Y322" s="110">
        <f t="shared" si="147"/>
        <v>473325.9942080956</v>
      </c>
      <c r="Z322" s="110">
        <f t="shared" si="147"/>
        <v>456201.74761307368</v>
      </c>
      <c r="AA322" s="110">
        <f t="shared" si="147"/>
        <v>439077.50101805176</v>
      </c>
      <c r="AB322" s="110">
        <f t="shared" si="147"/>
        <v>421953.25442302984</v>
      </c>
      <c r="AC322" s="110">
        <f t="shared" si="147"/>
        <v>404829.00782800792</v>
      </c>
      <c r="AD322" s="110">
        <f t="shared" si="147"/>
        <v>387704.761232986</v>
      </c>
      <c r="AE322" s="110">
        <f t="shared" si="147"/>
        <v>370580.51463796408</v>
      </c>
      <c r="AF322" s="110">
        <f t="shared" si="147"/>
        <v>353456.26804294216</v>
      </c>
      <c r="AG322" s="110">
        <f t="shared" si="147"/>
        <v>336332.02144792024</v>
      </c>
      <c r="AH322" s="110">
        <f>AG322+AH321-AH323</f>
        <v>336332.02144792024</v>
      </c>
      <c r="AI322" s="110"/>
      <c r="AM322" s="110"/>
      <c r="AO322" s="110"/>
      <c r="AQ322" s="110"/>
    </row>
    <row r="323" spans="1:43" hidden="1" outlineLevel="1" x14ac:dyDescent="0.2">
      <c r="A323" s="28" t="s">
        <v>624</v>
      </c>
      <c r="B323" s="110">
        <f>Aprēķini!B275+Aprēķini!B270</f>
        <v>0</v>
      </c>
      <c r="C323" s="110">
        <f>Aprēķini!C275+Aprēķini!C270</f>
        <v>0</v>
      </c>
      <c r="D323" s="304">
        <f>Aprēķini!D275+Aprēķini!D270</f>
        <v>611.75376342647007</v>
      </c>
      <c r="E323" s="110">
        <f>Aprēķini!E275+Aprēķini!E270</f>
        <v>22992.193605288005</v>
      </c>
      <c r="F323" s="110">
        <f>Aprēķini!G275+Aprēķini!G270</f>
        <v>22992.193605288005</v>
      </c>
      <c r="G323" s="110">
        <f>Aprēķini!H275+Aprēķini!H270</f>
        <v>22992.193605288005</v>
      </c>
      <c r="H323" s="110">
        <f>Aprēķini!I275+Aprēķini!I270</f>
        <v>22992.193605288005</v>
      </c>
      <c r="I323" s="110">
        <f>Aprēķini!J275+Aprēķini!J270</f>
        <v>22992.193605288005</v>
      </c>
      <c r="J323" s="110">
        <f>Aprēķini!K275+Aprēķini!K270</f>
        <v>22992.193605288005</v>
      </c>
      <c r="K323" s="110">
        <f>Aprēķini!L275+Aprēķini!L270</f>
        <v>22992.193605288005</v>
      </c>
      <c r="L323" s="110">
        <f>Aprēķini!M275+Aprēķini!M270</f>
        <v>22992.193605288005</v>
      </c>
      <c r="M323" s="110">
        <f>Aprēķini!N275+Aprēķini!N270</f>
        <v>22817.093115603006</v>
      </c>
      <c r="N323" s="110">
        <f>Aprēķini!O275+Aprēķini!O270</f>
        <v>17124.246595021898</v>
      </c>
      <c r="O323" s="110">
        <f>Aprēķini!P275+Aprēķini!P270</f>
        <v>17124.246595021898</v>
      </c>
      <c r="P323" s="110">
        <f>Aprēķini!Q275+Aprēķini!Q270</f>
        <v>17124.246595021898</v>
      </c>
      <c r="Q323" s="110">
        <f>Aprēķini!R275+Aprēķini!R270</f>
        <v>17124.246595021898</v>
      </c>
      <c r="R323" s="110">
        <f>Aprēķini!S275+Aprēķini!S270</f>
        <v>17124.246595021898</v>
      </c>
      <c r="S323" s="110">
        <f>Aprēķini!T275+Aprēķini!T270</f>
        <v>17124.246595021898</v>
      </c>
      <c r="T323" s="110">
        <f>Aprēķini!U275+Aprēķini!U270</f>
        <v>17124.246595021898</v>
      </c>
      <c r="U323" s="110">
        <f>Aprēķini!V275+Aprēķini!V270</f>
        <v>17124.246595021898</v>
      </c>
      <c r="V323" s="110">
        <f>Aprēķini!W275+Aprēķini!W270</f>
        <v>17124.246595021898</v>
      </c>
      <c r="W323" s="110">
        <f>Aprēķini!X275+Aprēķini!X270</f>
        <v>17124.246595021898</v>
      </c>
      <c r="X323" s="110">
        <f>Aprēķini!Y275+Aprēķini!Y270</f>
        <v>17124.246595021898</v>
      </c>
      <c r="Y323" s="110">
        <f>Aprēķini!Z275+Aprēķini!Z270</f>
        <v>17124.246595021898</v>
      </c>
      <c r="Z323" s="110">
        <f>Aprēķini!AA275+Aprēķini!AA270</f>
        <v>17124.246595021898</v>
      </c>
      <c r="AA323" s="110">
        <f>Aprēķini!AB275+Aprēķini!AB270</f>
        <v>17124.246595021898</v>
      </c>
      <c r="AB323" s="110">
        <f>Aprēķini!AC275+Aprēķini!AC270</f>
        <v>17124.246595021898</v>
      </c>
      <c r="AC323" s="110">
        <f>Aprēķini!AD275+Aprēķini!AD270</f>
        <v>17124.246595021898</v>
      </c>
      <c r="AD323" s="110">
        <f>Aprēķini!AE275+Aprēķini!AE270</f>
        <v>17124.246595021898</v>
      </c>
      <c r="AE323" s="110">
        <f>Aprēķini!AF275+Aprēķini!AF270</f>
        <v>17124.246595021898</v>
      </c>
      <c r="AF323" s="110">
        <f>Aprēķini!AG275+Aprēķini!AG270</f>
        <v>17124.246595021898</v>
      </c>
      <c r="AG323" s="110">
        <f>Aprēķini!AH275+Aprēķini!AH270</f>
        <v>17124.246595021898</v>
      </c>
      <c r="AH323" s="110">
        <f>Aprēķini!AI275+Aprēķini!AI270</f>
        <v>0</v>
      </c>
      <c r="AI323" s="110"/>
      <c r="AM323" s="110"/>
      <c r="AO323" s="110"/>
      <c r="AQ323" s="110"/>
    </row>
    <row r="324" spans="1:43" collapsed="1" x14ac:dyDescent="0.2"/>
    <row r="325" spans="1:43" x14ac:dyDescent="0.2">
      <c r="C325" s="110"/>
      <c r="D325" s="110"/>
      <c r="E325" s="110"/>
      <c r="F325" s="110"/>
      <c r="G325" s="110"/>
      <c r="H325" s="110"/>
      <c r="I325" s="110"/>
      <c r="J325" s="110"/>
      <c r="K325" s="110"/>
      <c r="L325" s="110"/>
    </row>
    <row r="326" spans="1:43" ht="12.4" customHeight="1" x14ac:dyDescent="0.2">
      <c r="B326" s="110"/>
      <c r="C326" s="110"/>
      <c r="D326" s="110"/>
      <c r="E326" s="110"/>
      <c r="F326" s="110"/>
      <c r="G326" s="110"/>
      <c r="H326" s="110"/>
      <c r="I326" s="110"/>
      <c r="J326" s="110"/>
      <c r="K326" s="110"/>
      <c r="L326" s="110"/>
      <c r="M326" s="110"/>
      <c r="N326" s="110"/>
      <c r="O326" s="110"/>
      <c r="P326" s="110"/>
      <c r="Q326" s="110"/>
      <c r="R326" s="110"/>
      <c r="S326" s="110"/>
      <c r="T326" s="110"/>
      <c r="U326" s="110"/>
      <c r="V326" s="110"/>
      <c r="W326" s="110"/>
      <c r="X326" s="110"/>
      <c r="Y326" s="110"/>
      <c r="Z326" s="110"/>
      <c r="AA326" s="110"/>
      <c r="AB326" s="110"/>
      <c r="AC326" s="110"/>
      <c r="AD326" s="110"/>
      <c r="AE326" s="110"/>
      <c r="AF326" s="110"/>
      <c r="AG326" s="110"/>
      <c r="AH326" s="110"/>
    </row>
    <row r="327" spans="1:43" x14ac:dyDescent="0.2">
      <c r="B327" s="110"/>
      <c r="C327" s="110"/>
      <c r="D327" s="110"/>
      <c r="E327" s="110"/>
      <c r="F327" s="110"/>
      <c r="G327" s="110"/>
      <c r="H327" s="110"/>
      <c r="I327" s="110"/>
      <c r="J327" s="110"/>
      <c r="K327" s="110"/>
      <c r="L327" s="110"/>
      <c r="M327" s="110"/>
      <c r="N327" s="110"/>
      <c r="O327" s="110"/>
    </row>
    <row r="328" spans="1:43" x14ac:dyDescent="0.2">
      <c r="B328" s="300"/>
      <c r="C328" s="110"/>
      <c r="D328" s="110"/>
      <c r="E328" s="110"/>
      <c r="F328" s="110"/>
      <c r="G328" s="110"/>
      <c r="H328" s="110"/>
      <c r="I328" s="110"/>
      <c r="J328" s="110"/>
      <c r="K328" s="110"/>
      <c r="L328" s="110"/>
      <c r="M328" s="110"/>
      <c r="N328" s="110"/>
      <c r="O328" s="110"/>
      <c r="P328" s="300"/>
      <c r="Q328" s="300"/>
      <c r="R328" s="300"/>
      <c r="S328" s="300"/>
      <c r="T328" s="300"/>
      <c r="U328" s="300"/>
      <c r="V328" s="300"/>
      <c r="W328" s="300"/>
      <c r="X328" s="300"/>
      <c r="Y328" s="300"/>
      <c r="Z328" s="300"/>
      <c r="AA328" s="300"/>
      <c r="AB328" s="300"/>
      <c r="AC328" s="300"/>
      <c r="AD328" s="300"/>
      <c r="AE328" s="300"/>
      <c r="AF328" s="300"/>
      <c r="AG328" s="300"/>
      <c r="AH328" s="300"/>
    </row>
    <row r="329" spans="1:43" x14ac:dyDescent="0.2">
      <c r="C329" s="110"/>
      <c r="D329" s="110"/>
      <c r="E329" s="110"/>
      <c r="F329" s="110"/>
      <c r="G329" s="110"/>
      <c r="H329" s="110"/>
      <c r="I329" s="110"/>
      <c r="J329" s="110"/>
      <c r="K329" s="110"/>
      <c r="L329" s="110"/>
      <c r="M329" s="110"/>
      <c r="N329" s="110"/>
    </row>
  </sheetData>
  <phoneticPr fontId="2" type="noConversion"/>
  <printOptions horizontalCentered="1"/>
  <pageMargins left="0.59027777777777779" right="0.59027777777777779" top="1" bottom="1.1388888888888888" header="0.51180555555555551" footer="1"/>
  <pageSetup paperSize="9" scale="59" firstPageNumber="0" pageOrder="overThenDown" orientation="landscape" horizontalDpi="300" verticalDpi="300" r:id="rId1"/>
  <headerFooter alignWithMargins="0">
    <oddFooter>&amp;L&amp;A&amp;R&amp;P</oddFooter>
  </headerFooter>
  <rowBreaks count="4" manualBreakCount="4">
    <brk id="73" max="65535" man="1"/>
    <brk id="130" max="65535" man="1"/>
    <brk id="235" max="65535" man="1"/>
    <brk id="262" max="65535" man="1"/>
  </rowBreaks>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showGridLines="0" topLeftCell="A21" zoomScale="85" workbookViewId="0">
      <selection activeCell="F50" sqref="F50"/>
    </sheetView>
  </sheetViews>
  <sheetFormatPr defaultRowHeight="12.75" x14ac:dyDescent="0.2"/>
  <cols>
    <col min="1" max="1" width="5.140625" style="431" customWidth="1"/>
    <col min="2" max="2" width="82.42578125" style="431" customWidth="1"/>
    <col min="3" max="8" width="22.28515625" style="431" customWidth="1"/>
    <col min="9" max="16384" width="9.140625" style="431"/>
  </cols>
  <sheetData>
    <row r="1" spans="1:4" ht="19.5" x14ac:dyDescent="0.2">
      <c r="A1" s="492" t="str">
        <f>'Datu ievade'!B12</f>
        <v>SIA "Dobeles Ūdens"</v>
      </c>
    </row>
    <row r="2" spans="1:4" ht="18" x14ac:dyDescent="0.2">
      <c r="A2" s="645" t="str">
        <f>'Datu ievade'!B13</f>
        <v>"Kanalizācijas tīklu paplašināšana Dobeles aglomerācijā" II kārta</v>
      </c>
      <c r="B2" s="595"/>
      <c r="C2" s="595"/>
    </row>
    <row r="3" spans="1:4" ht="24" customHeight="1" x14ac:dyDescent="0.2">
      <c r="A3" s="646" t="s">
        <v>625</v>
      </c>
      <c r="B3" s="491"/>
    </row>
    <row r="5" spans="1:4" ht="15" x14ac:dyDescent="0.2">
      <c r="A5" s="493" t="s">
        <v>626</v>
      </c>
      <c r="B5" s="432"/>
      <c r="C5" s="432"/>
      <c r="D5" s="432"/>
    </row>
    <row r="6" spans="1:4" ht="13.5" customHeight="1" x14ac:dyDescent="0.2">
      <c r="A6" s="433"/>
      <c r="B6" s="434" t="s">
        <v>627</v>
      </c>
      <c r="C6" s="435" t="s">
        <v>628</v>
      </c>
      <c r="D6" s="435" t="s">
        <v>629</v>
      </c>
    </row>
    <row r="7" spans="1:4" ht="13.5" customHeight="1" x14ac:dyDescent="0.2">
      <c r="A7" s="577">
        <v>1</v>
      </c>
      <c r="B7" s="436" t="str">
        <f>"Pārskata periods: "&amp;'Kopējie pieņēmumi'!B33&amp;" gadi"</f>
        <v>Pārskata periods: 30 gadi</v>
      </c>
      <c r="C7" s="437"/>
      <c r="D7" s="437"/>
    </row>
    <row r="8" spans="1:4" ht="13.5" customHeight="1" x14ac:dyDescent="0.2">
      <c r="A8" s="577">
        <v>2</v>
      </c>
      <c r="B8" s="436" t="str">
        <f>"Finansiālā nominālā diskonta likme: "&amp;'Kopējie pieņēmumi'!B18*100&amp;"%"</f>
        <v>Finansiālā nominālā diskonta likme: 6.1%</v>
      </c>
      <c r="C8" s="437"/>
      <c r="D8" s="437"/>
    </row>
    <row r="9" spans="1:4" ht="13.5" customHeight="1" x14ac:dyDescent="0.2">
      <c r="A9" s="577">
        <v>3</v>
      </c>
      <c r="B9" s="436" t="s">
        <v>0</v>
      </c>
      <c r="C9" s="438">
        <f>Aprēķini!B115</f>
        <v>1465599.27</v>
      </c>
      <c r="D9" s="437"/>
    </row>
    <row r="10" spans="1:4" ht="13.5" customHeight="1" x14ac:dyDescent="0.2">
      <c r="A10" s="577">
        <v>4</v>
      </c>
      <c r="B10" s="436" t="s">
        <v>1</v>
      </c>
      <c r="C10" s="437"/>
      <c r="D10" s="438">
        <f>Aprēķini!B116</f>
        <v>1307254.9722097844</v>
      </c>
    </row>
    <row r="11" spans="1:4" ht="13.5" customHeight="1" x14ac:dyDescent="0.2">
      <c r="A11" s="577">
        <v>5</v>
      </c>
      <c r="B11" s="436" t="s">
        <v>2</v>
      </c>
      <c r="C11" s="438">
        <f>Aprēķini!B117</f>
        <v>1419609.91</v>
      </c>
      <c r="D11" s="437"/>
    </row>
    <row r="12" spans="1:4" ht="13.5" customHeight="1" x14ac:dyDescent="0.2">
      <c r="A12" s="577">
        <v>6</v>
      </c>
      <c r="B12" s="436" t="s">
        <v>3</v>
      </c>
      <c r="C12" s="437"/>
      <c r="D12" s="438">
        <f>Aprēķini!B118</f>
        <v>1264890.1069446572</v>
      </c>
    </row>
    <row r="13" spans="1:4" ht="13.5" customHeight="1" x14ac:dyDescent="0.2">
      <c r="A13" s="577">
        <v>7</v>
      </c>
      <c r="B13" s="436" t="s">
        <v>4</v>
      </c>
      <c r="C13" s="438">
        <f>Aprēķini!B125</f>
        <v>548639</v>
      </c>
      <c r="D13" s="437"/>
    </row>
    <row r="14" spans="1:4" ht="13.5" customHeight="1" x14ac:dyDescent="0.2">
      <c r="A14" s="577">
        <v>8</v>
      </c>
      <c r="B14" s="436" t="s">
        <v>5</v>
      </c>
      <c r="C14" s="437"/>
      <c r="D14" s="438">
        <f>Aprēķini!B126</f>
        <v>82488.687094032299</v>
      </c>
    </row>
    <row r="15" spans="1:4" ht="13.5" customHeight="1" x14ac:dyDescent="0.2">
      <c r="A15" s="577">
        <v>9</v>
      </c>
      <c r="B15" s="436" t="s">
        <v>6</v>
      </c>
      <c r="C15" s="437"/>
      <c r="D15" s="438">
        <f>Aprēķini!B120</f>
        <v>294818.52938471531</v>
      </c>
    </row>
    <row r="16" spans="1:4" ht="13.5" customHeight="1" x14ac:dyDescent="0.2">
      <c r="A16" s="577">
        <v>10</v>
      </c>
      <c r="B16" s="436" t="s">
        <v>7</v>
      </c>
      <c r="C16" s="437"/>
      <c r="D16" s="438">
        <f>Aprēķini!B121</f>
        <v>30106.709494870847</v>
      </c>
    </row>
    <row r="17" spans="1:11" ht="51" x14ac:dyDescent="0.2">
      <c r="A17" s="577">
        <v>11</v>
      </c>
      <c r="B17" s="436" t="s">
        <v>10</v>
      </c>
      <c r="C17" s="437"/>
      <c r="D17" s="438">
        <f>(D15-D16+D14)*D12/D10</f>
        <v>335948.60661933536</v>
      </c>
    </row>
    <row r="18" spans="1:11" x14ac:dyDescent="0.2">
      <c r="A18" s="577">
        <v>12</v>
      </c>
      <c r="B18" s="436" t="s">
        <v>11</v>
      </c>
      <c r="C18" s="437"/>
      <c r="D18" s="438">
        <f>D12-D17</f>
        <v>928941.5003253218</v>
      </c>
    </row>
    <row r="19" spans="1:11" x14ac:dyDescent="0.2">
      <c r="A19" s="577">
        <v>13</v>
      </c>
      <c r="B19" s="436" t="s">
        <v>12</v>
      </c>
      <c r="C19" s="437"/>
      <c r="D19" s="439">
        <f>MIN(ROUND(D18/D12,8),1)</f>
        <v>0.73440490999999997</v>
      </c>
    </row>
    <row r="20" spans="1:11" x14ac:dyDescent="0.2">
      <c r="A20" s="440"/>
    </row>
    <row r="21" spans="1:11" ht="15" x14ac:dyDescent="0.2">
      <c r="B21" s="493" t="s">
        <v>13</v>
      </c>
      <c r="C21" s="442"/>
      <c r="D21" s="442"/>
      <c r="E21" s="442"/>
      <c r="F21" s="442"/>
      <c r="G21" s="440"/>
      <c r="H21" s="440"/>
      <c r="I21" s="440"/>
      <c r="J21" s="440"/>
      <c r="K21" s="440"/>
    </row>
    <row r="22" spans="1:11" ht="54" customHeight="1" x14ac:dyDescent="0.2">
      <c r="A22" s="440"/>
      <c r="B22" s="443"/>
      <c r="C22" s="444" t="s">
        <v>14</v>
      </c>
      <c r="D22" s="444" t="s">
        <v>15</v>
      </c>
      <c r="E22" s="442"/>
      <c r="F22" s="442"/>
      <c r="G22" s="442"/>
      <c r="H22" s="440"/>
      <c r="I22" s="440"/>
      <c r="J22" s="440"/>
      <c r="K22" s="440"/>
    </row>
    <row r="23" spans="1:11" x14ac:dyDescent="0.2">
      <c r="A23" s="440"/>
      <c r="B23" s="443" t="s">
        <v>16</v>
      </c>
      <c r="C23" s="445">
        <f>Aprēķini!$M$195</f>
        <v>1.4789694628712935E-2</v>
      </c>
      <c r="D23" s="445">
        <f>Aprēķini!$M$247</f>
        <v>2.1272705165552939</v>
      </c>
      <c r="E23" s="442"/>
      <c r="F23" s="442"/>
      <c r="G23" s="442"/>
      <c r="H23" s="440"/>
      <c r="I23" s="440"/>
      <c r="J23" s="440"/>
      <c r="K23" s="440"/>
    </row>
    <row r="24" spans="1:11" x14ac:dyDescent="0.2">
      <c r="A24" s="440"/>
      <c r="B24" s="443" t="s">
        <v>17</v>
      </c>
      <c r="C24" s="446">
        <f>Aprēķini!$M$196</f>
        <v>-450449.55150393891</v>
      </c>
      <c r="D24" s="446">
        <f>Aprēķini!$M$248</f>
        <v>216881.68129412699</v>
      </c>
      <c r="E24" s="442"/>
      <c r="F24" s="442"/>
      <c r="G24" s="442"/>
      <c r="H24" s="440"/>
      <c r="I24" s="440"/>
      <c r="J24" s="440"/>
      <c r="K24" s="440"/>
    </row>
    <row r="25" spans="1:11" x14ac:dyDescent="0.2">
      <c r="A25" s="440"/>
      <c r="B25" s="442"/>
      <c r="C25" s="442"/>
      <c r="D25" s="442"/>
      <c r="E25" s="442"/>
      <c r="F25" s="442"/>
      <c r="G25" s="442"/>
      <c r="H25" s="440"/>
      <c r="I25" s="440"/>
      <c r="J25" s="440"/>
      <c r="K25" s="440"/>
    </row>
    <row r="26" spans="1:11" ht="15" x14ac:dyDescent="0.2">
      <c r="B26" s="493" t="s">
        <v>18</v>
      </c>
      <c r="C26" s="442"/>
      <c r="D26" s="442"/>
      <c r="E26" s="442"/>
      <c r="F26" s="442"/>
      <c r="G26" s="442"/>
      <c r="H26" s="440"/>
      <c r="I26" s="440"/>
      <c r="J26" s="440"/>
      <c r="K26" s="440"/>
    </row>
    <row r="27" spans="1:11" ht="54" customHeight="1" x14ac:dyDescent="0.2">
      <c r="A27" s="440"/>
      <c r="B27" s="444" t="s">
        <v>19</v>
      </c>
      <c r="C27" s="444" t="s">
        <v>20</v>
      </c>
      <c r="D27" s="444" t="s">
        <v>21</v>
      </c>
      <c r="E27" s="444" t="s">
        <v>22</v>
      </c>
      <c r="F27" s="444" t="s">
        <v>23</v>
      </c>
      <c r="G27" s="444" t="s">
        <v>24</v>
      </c>
      <c r="H27" s="440"/>
      <c r="I27" s="440"/>
      <c r="J27" s="440"/>
      <c r="K27" s="440"/>
    </row>
    <row r="28" spans="1:11" x14ac:dyDescent="0.2">
      <c r="A28" s="440"/>
      <c r="B28" s="448">
        <v>1</v>
      </c>
      <c r="C28" s="448">
        <v>2</v>
      </c>
      <c r="D28" s="448">
        <v>3</v>
      </c>
      <c r="E28" s="448" t="s">
        <v>25</v>
      </c>
      <c r="F28" s="448" t="s">
        <v>26</v>
      </c>
      <c r="G28" s="448" t="s">
        <v>27</v>
      </c>
      <c r="H28" s="440"/>
      <c r="I28" s="440"/>
      <c r="J28" s="440"/>
      <c r="K28" s="440"/>
    </row>
    <row r="29" spans="1:11" x14ac:dyDescent="0.2">
      <c r="A29" s="440"/>
      <c r="B29" s="557">
        <f>C11</f>
        <v>1419609.91</v>
      </c>
      <c r="C29" s="449">
        <f>D19</f>
        <v>0.73440490999999997</v>
      </c>
      <c r="D29" s="450">
        <f>'Kopējie pieņēmumi'!B37</f>
        <v>0.85</v>
      </c>
      <c r="E29" s="558">
        <f>B29*C29</f>
        <v>1042568.488188658</v>
      </c>
      <c r="F29" s="559">
        <f>ROUND(G29/B29,8)</f>
        <v>0.62424416999999999</v>
      </c>
      <c r="G29" s="558">
        <f>E29*D29</f>
        <v>886183.21496035927</v>
      </c>
      <c r="H29" s="440"/>
      <c r="I29" s="440"/>
      <c r="J29" s="440"/>
      <c r="K29" s="440"/>
    </row>
    <row r="30" spans="1:11" x14ac:dyDescent="0.2">
      <c r="A30" s="440"/>
      <c r="B30" s="451"/>
      <c r="C30" s="452"/>
      <c r="D30" s="453"/>
      <c r="E30" s="454"/>
      <c r="F30" s="455"/>
      <c r="G30" s="454"/>
      <c r="H30" s="440"/>
      <c r="I30" s="440"/>
      <c r="J30" s="440"/>
      <c r="K30" s="440"/>
    </row>
    <row r="31" spans="1:11" x14ac:dyDescent="0.2">
      <c r="A31" s="440"/>
      <c r="B31" s="456">
        <f>C9</f>
        <v>1465599.27</v>
      </c>
      <c r="C31" s="442" t="s">
        <v>28</v>
      </c>
      <c r="D31" s="442"/>
      <c r="E31" s="442"/>
      <c r="F31" s="457">
        <f>G29/B31</f>
        <v>0.60465587906601459</v>
      </c>
      <c r="G31" s="458"/>
      <c r="H31" s="440"/>
      <c r="I31" s="440"/>
      <c r="J31" s="440"/>
      <c r="K31" s="440"/>
    </row>
    <row r="32" spans="1:11" ht="15" x14ac:dyDescent="0.2">
      <c r="B32" s="493" t="s">
        <v>29</v>
      </c>
      <c r="C32" s="440"/>
      <c r="D32" s="440"/>
      <c r="E32" s="440"/>
      <c r="F32" s="440"/>
      <c r="G32" s="440"/>
      <c r="H32" s="440"/>
      <c r="I32" s="440"/>
      <c r="J32" s="440"/>
      <c r="K32" s="440"/>
    </row>
    <row r="33" spans="1:11" ht="54" customHeight="1" x14ac:dyDescent="0.2">
      <c r="A33" s="440"/>
      <c r="B33" s="444" t="s">
        <v>19</v>
      </c>
      <c r="C33" s="444" t="s">
        <v>20</v>
      </c>
      <c r="D33" s="444" t="s">
        <v>21</v>
      </c>
      <c r="E33" s="444" t="s">
        <v>22</v>
      </c>
      <c r="F33" s="444" t="s">
        <v>9</v>
      </c>
      <c r="G33" s="444" t="s">
        <v>24</v>
      </c>
      <c r="H33" s="440"/>
      <c r="I33" s="440"/>
      <c r="J33" s="440"/>
      <c r="K33" s="440"/>
    </row>
    <row r="34" spans="1:11" ht="13.5" thickBot="1" x14ac:dyDescent="0.25">
      <c r="A34" s="440"/>
      <c r="B34" s="448">
        <v>1</v>
      </c>
      <c r="C34" s="448">
        <v>2</v>
      </c>
      <c r="D34" s="448">
        <v>3</v>
      </c>
      <c r="E34" s="448" t="s">
        <v>25</v>
      </c>
      <c r="F34" s="460" t="s">
        <v>26</v>
      </c>
      <c r="G34" s="448" t="s">
        <v>27</v>
      </c>
      <c r="H34" s="440"/>
      <c r="I34" s="440"/>
      <c r="J34" s="440"/>
      <c r="K34" s="440"/>
    </row>
    <row r="35" spans="1:11" ht="13.5" thickBot="1" x14ac:dyDescent="0.25">
      <c r="A35" s="440"/>
      <c r="B35" s="557">
        <f>B29</f>
        <v>1419609.91</v>
      </c>
      <c r="C35" s="449">
        <f>D19</f>
        <v>0.73440490999999997</v>
      </c>
      <c r="D35" s="450">
        <v>0.85</v>
      </c>
      <c r="E35" s="560">
        <f>B35*C35</f>
        <v>1042568.488188658</v>
      </c>
      <c r="F35" s="563">
        <f>ROUND(G35/B35,8)</f>
        <v>0.62424416999999999</v>
      </c>
      <c r="G35" s="561">
        <f>MIN(D35*E35,'Datu ievade'!B246)</f>
        <v>886183.21496035927</v>
      </c>
      <c r="H35" s="461"/>
      <c r="I35" s="440"/>
      <c r="J35" s="440"/>
      <c r="K35" s="440"/>
    </row>
    <row r="36" spans="1:11" x14ac:dyDescent="0.2">
      <c r="A36" s="440"/>
      <c r="B36" s="440"/>
      <c r="C36" s="440"/>
      <c r="D36" s="440"/>
      <c r="E36" s="440"/>
      <c r="F36" s="462"/>
      <c r="G36" s="463"/>
      <c r="H36" s="440"/>
      <c r="I36" s="440"/>
      <c r="J36" s="440"/>
      <c r="K36" s="440"/>
    </row>
    <row r="37" spans="1:11" hidden="1" x14ac:dyDescent="0.2">
      <c r="A37" s="440"/>
      <c r="B37" s="311"/>
      <c r="C37" s="311"/>
      <c r="D37" s="311"/>
      <c r="E37" s="311"/>
      <c r="F37" s="311"/>
      <c r="G37" s="311"/>
      <c r="H37" s="440"/>
      <c r="I37" s="440"/>
      <c r="J37" s="440"/>
      <c r="K37" s="440"/>
    </row>
    <row r="38" spans="1:11" hidden="1" x14ac:dyDescent="0.2">
      <c r="A38" s="441" t="s">
        <v>30</v>
      </c>
      <c r="B38" s="464" t="s">
        <v>31</v>
      </c>
      <c r="C38" s="465"/>
      <c r="D38" s="465"/>
      <c r="E38" s="465"/>
      <c r="F38" s="465"/>
      <c r="G38" s="465"/>
      <c r="H38" s="440"/>
      <c r="I38" s="440"/>
      <c r="J38" s="440"/>
      <c r="K38" s="440"/>
    </row>
    <row r="39" spans="1:11" hidden="1" x14ac:dyDescent="0.2">
      <c r="A39" s="440"/>
      <c r="B39" s="466"/>
      <c r="C39" s="466"/>
      <c r="D39" s="466"/>
      <c r="E39" s="466"/>
      <c r="F39" s="466"/>
      <c r="G39" s="467"/>
      <c r="H39" s="440"/>
      <c r="I39" s="440"/>
      <c r="J39" s="440"/>
      <c r="K39" s="440"/>
    </row>
    <row r="40" spans="1:11" ht="51.75" hidden="1" thickBot="1" x14ac:dyDescent="0.25">
      <c r="A40" s="440"/>
      <c r="B40" s="447" t="s">
        <v>19</v>
      </c>
      <c r="C40" s="447" t="s">
        <v>32</v>
      </c>
      <c r="D40" s="447" t="s">
        <v>33</v>
      </c>
      <c r="E40" s="468" t="s">
        <v>34</v>
      </c>
      <c r="F40" s="468" t="s">
        <v>35</v>
      </c>
      <c r="G40" s="469"/>
      <c r="H40" s="440"/>
      <c r="I40" s="440"/>
      <c r="J40" s="440"/>
      <c r="K40" s="440"/>
    </row>
    <row r="41" spans="1:11" ht="13.5" hidden="1" thickBot="1" x14ac:dyDescent="0.25">
      <c r="A41" s="440"/>
      <c r="B41" s="470">
        <f>B29</f>
        <v>1419609.91</v>
      </c>
      <c r="C41" s="471">
        <f>D19</f>
        <v>0.73440490999999997</v>
      </c>
      <c r="D41" s="472">
        <f>E41/E29</f>
        <v>0</v>
      </c>
      <c r="E41" s="473">
        <f>$B$41*$F$41</f>
        <v>0</v>
      </c>
      <c r="F41" s="474">
        <f>'Kopējie pieņēmumi'!B38</f>
        <v>0</v>
      </c>
      <c r="G41" s="475"/>
      <c r="H41" s="440"/>
      <c r="I41" s="440"/>
      <c r="J41" s="440"/>
      <c r="K41" s="440"/>
    </row>
    <row r="42" spans="1:11" hidden="1" x14ac:dyDescent="0.2">
      <c r="A42" s="440"/>
      <c r="B42" s="466"/>
      <c r="C42" s="466"/>
      <c r="D42" s="466"/>
      <c r="E42" s="466"/>
      <c r="F42" s="466"/>
      <c r="G42" s="467"/>
      <c r="H42" s="440"/>
      <c r="I42" s="440"/>
      <c r="J42" s="440"/>
      <c r="K42" s="440"/>
    </row>
    <row r="43" spans="1:11" x14ac:dyDescent="0.2">
      <c r="A43" s="440"/>
      <c r="B43" s="466"/>
      <c r="C43" s="466"/>
      <c r="D43" s="466"/>
      <c r="E43" s="466"/>
      <c r="F43" s="466"/>
      <c r="G43" s="466"/>
      <c r="H43" s="440"/>
      <c r="I43" s="440"/>
      <c r="J43" s="440"/>
      <c r="K43" s="440"/>
    </row>
    <row r="44" spans="1:11" ht="15" x14ac:dyDescent="0.2">
      <c r="B44" s="493" t="s">
        <v>36</v>
      </c>
      <c r="C44" s="466"/>
      <c r="D44" s="466"/>
      <c r="E44" s="466"/>
      <c r="F44" s="467"/>
      <c r="G44" s="467"/>
      <c r="H44" s="440"/>
      <c r="I44" s="440"/>
      <c r="J44" s="440"/>
      <c r="K44" s="440"/>
    </row>
    <row r="45" spans="1:11" ht="54" customHeight="1" x14ac:dyDescent="0.2">
      <c r="A45" s="440"/>
      <c r="B45" s="444" t="s">
        <v>19</v>
      </c>
      <c r="C45" s="444" t="s">
        <v>32</v>
      </c>
      <c r="D45" s="444" t="s">
        <v>37</v>
      </c>
      <c r="E45" s="686" t="s">
        <v>38</v>
      </c>
      <c r="F45" s="444" t="s">
        <v>39</v>
      </c>
      <c r="G45" s="444" t="s">
        <v>40</v>
      </c>
      <c r="H45" s="440"/>
      <c r="I45" s="440"/>
      <c r="J45" s="440"/>
      <c r="K45" s="440"/>
    </row>
    <row r="46" spans="1:11" x14ac:dyDescent="0.2">
      <c r="A46" s="440"/>
      <c r="B46" s="562">
        <f>B29</f>
        <v>1419609.91</v>
      </c>
      <c r="C46" s="559">
        <f>D19</f>
        <v>0.73440490999999997</v>
      </c>
      <c r="D46" s="684">
        <f>B46*(1-C46)</f>
        <v>377041.42181134195</v>
      </c>
      <c r="E46" s="559">
        <f>G46/B46</f>
        <v>0.37575582650000006</v>
      </c>
      <c r="F46" s="685">
        <f>E35-G35-E41</f>
        <v>156385.27322829876</v>
      </c>
      <c r="G46" s="564">
        <f>D46+F46</f>
        <v>533426.69503964065</v>
      </c>
      <c r="H46" s="440"/>
      <c r="I46" s="440"/>
      <c r="J46" s="440"/>
      <c r="K46" s="440"/>
    </row>
    <row r="47" spans="1:11" x14ac:dyDescent="0.2">
      <c r="A47" s="440"/>
      <c r="B47" s="440"/>
      <c r="C47" s="440"/>
      <c r="D47" s="440"/>
      <c r="E47" s="440"/>
      <c r="F47" s="440"/>
      <c r="G47" s="440"/>
      <c r="H47" s="440"/>
      <c r="I47" s="440"/>
      <c r="J47" s="440"/>
      <c r="K47" s="440"/>
    </row>
    <row r="48" spans="1:11" s="105" customFormat="1" ht="15.75" customHeight="1" x14ac:dyDescent="0.2">
      <c r="B48" s="493" t="s">
        <v>41</v>
      </c>
      <c r="C48" s="459"/>
      <c r="D48" s="459"/>
      <c r="E48" s="459"/>
      <c r="F48" s="459"/>
      <c r="G48" s="459"/>
      <c r="H48" s="459"/>
      <c r="I48" s="459"/>
      <c r="J48" s="459"/>
      <c r="K48" s="459"/>
    </row>
    <row r="49" spans="1:11" ht="54" customHeight="1" x14ac:dyDescent="0.2">
      <c r="A49" s="440"/>
      <c r="B49" s="476" t="s">
        <v>533</v>
      </c>
      <c r="C49" s="477" t="s">
        <v>42</v>
      </c>
      <c r="D49" s="477" t="s">
        <v>43</v>
      </c>
      <c r="E49" s="477" t="s">
        <v>44</v>
      </c>
      <c r="F49" s="477" t="s">
        <v>45</v>
      </c>
      <c r="G49" s="477" t="s">
        <v>46</v>
      </c>
      <c r="H49" s="477" t="s">
        <v>47</v>
      </c>
      <c r="I49" s="440"/>
      <c r="J49" s="440"/>
      <c r="K49" s="440"/>
    </row>
    <row r="50" spans="1:11" x14ac:dyDescent="0.2">
      <c r="A50" s="440"/>
      <c r="B50" s="478" t="s">
        <v>48</v>
      </c>
      <c r="C50" s="479">
        <f t="shared" ref="C50:C57" si="0">D50/$D$59</f>
        <v>-3.3845262426957129E-9</v>
      </c>
      <c r="D50" s="481">
        <f>D59-D52-D57-D51-D53-D54</f>
        <v>-4.9603591905906796E-3</v>
      </c>
      <c r="E50" s="480">
        <f>(1-$E$57)*D50/SUM($D$50:$D$54)</f>
        <v>-1.2841443935095958E-9</v>
      </c>
      <c r="F50" s="481">
        <f t="shared" ref="F50:F57" si="1">E50*$F$59</f>
        <v>-1.3388084789572405E-3</v>
      </c>
      <c r="G50" s="480">
        <f>D50/SUM($D$50:$D$54)</f>
        <v>-8.5609626233973043E-9</v>
      </c>
      <c r="H50" s="481">
        <f>G50*($D$59-$F$59)</f>
        <v>-3.6215507116334391E-3</v>
      </c>
      <c r="I50" s="440"/>
      <c r="J50" s="440"/>
      <c r="K50" s="440"/>
    </row>
    <row r="51" spans="1:11" x14ac:dyDescent="0.2">
      <c r="A51" s="440"/>
      <c r="B51" s="478" t="s">
        <v>318</v>
      </c>
      <c r="C51" s="479">
        <f t="shared" si="0"/>
        <v>0</v>
      </c>
      <c r="D51" s="481">
        <f>SUM('Datu ievade'!B223:H223)</f>
        <v>0</v>
      </c>
      <c r="E51" s="480">
        <f>(1-$E$57)*D51/SUM($D$50:$D$54)</f>
        <v>0</v>
      </c>
      <c r="F51" s="481">
        <f t="shared" si="1"/>
        <v>0</v>
      </c>
      <c r="G51" s="480">
        <f>D51/SUM($D$50:$D$54)</f>
        <v>0</v>
      </c>
      <c r="H51" s="481">
        <f>G51*($D$59-$F$59)</f>
        <v>0</v>
      </c>
      <c r="I51" s="440"/>
      <c r="J51" s="440"/>
      <c r="K51" s="440"/>
    </row>
    <row r="52" spans="1:11" x14ac:dyDescent="0.2">
      <c r="A52" s="440"/>
      <c r="B52" s="478" t="s">
        <v>49</v>
      </c>
      <c r="C52" s="479">
        <f t="shared" si="0"/>
        <v>0.39534412431851168</v>
      </c>
      <c r="D52" s="481">
        <f>SUM('Datu ievade'!B220:H220)-0.67</f>
        <v>579416.05999999994</v>
      </c>
      <c r="E52" s="480">
        <f>(1-$E$57)*D52/SUM($D$50:$D$54)</f>
        <v>0.1500000012841444</v>
      </c>
      <c r="F52" s="481">
        <f t="shared" si="1"/>
        <v>156385.27456710718</v>
      </c>
      <c r="G52" s="480">
        <f>D52/SUM($D$50:$D$54)</f>
        <v>1.0000000085609626</v>
      </c>
      <c r="H52" s="481">
        <f>G52*($D$59-$F$59)</f>
        <v>423030.78543289268</v>
      </c>
      <c r="I52" s="440"/>
      <c r="J52" s="440"/>
      <c r="K52" s="440"/>
    </row>
    <row r="53" spans="1:11" x14ac:dyDescent="0.2">
      <c r="A53" s="440"/>
      <c r="B53" s="478" t="str">
        <f>'Datu ievade'!A226</f>
        <v>Pašvaldības aizņēmums, ko plānots ieguldīt pašvaldībai piederošā kapitalsabiedrībā</v>
      </c>
      <c r="C53" s="479">
        <f t="shared" si="0"/>
        <v>0</v>
      </c>
      <c r="D53" s="481">
        <f>SUM('Datu ievade'!B226:H226)</f>
        <v>0</v>
      </c>
      <c r="E53" s="480">
        <f>(1-$E$57)*D53/SUM($D$50:$D$54)</f>
        <v>0</v>
      </c>
      <c r="F53" s="481">
        <f t="shared" si="1"/>
        <v>0</v>
      </c>
      <c r="G53" s="480">
        <f>D53/SUM($D$50:$D$54)</f>
        <v>0</v>
      </c>
      <c r="H53" s="481">
        <f>G53*($D$59-$F$59)</f>
        <v>0</v>
      </c>
      <c r="I53" s="440"/>
      <c r="J53" s="440"/>
      <c r="K53" s="440"/>
    </row>
    <row r="54" spans="1:11" x14ac:dyDescent="0.2">
      <c r="A54" s="440"/>
      <c r="B54" s="478" t="str">
        <f>'Datu ievade'!A229</f>
        <v>Pašvaldības pašu līdzekļi, ko plānots ieguldīt piederošā kapitalsabiedrībā</v>
      </c>
      <c r="C54" s="479">
        <f t="shared" si="0"/>
        <v>0</v>
      </c>
      <c r="D54" s="481">
        <f>SUM('Datu ievade'!B229:H229)</f>
        <v>0</v>
      </c>
      <c r="E54" s="480">
        <f>(1-$E$57)*D54/SUM($D$50:$D$54)</f>
        <v>0</v>
      </c>
      <c r="F54" s="481">
        <f t="shared" si="1"/>
        <v>0</v>
      </c>
      <c r="G54" s="480">
        <f>D54/SUM($D$50:$D$54)</f>
        <v>0</v>
      </c>
      <c r="H54" s="481">
        <f>G54*($D$59-$F$59)</f>
        <v>0</v>
      </c>
      <c r="I54" s="440"/>
      <c r="J54" s="440"/>
      <c r="K54" s="440"/>
    </row>
    <row r="55" spans="1:11" x14ac:dyDescent="0.2">
      <c r="A55" s="440"/>
      <c r="B55" s="478" t="s">
        <v>393</v>
      </c>
      <c r="C55" s="479">
        <f t="shared" si="0"/>
        <v>0</v>
      </c>
      <c r="D55" s="481">
        <f>E41</f>
        <v>0</v>
      </c>
      <c r="E55" s="480">
        <f>D41</f>
        <v>0</v>
      </c>
      <c r="F55" s="481">
        <f t="shared" si="1"/>
        <v>0</v>
      </c>
      <c r="G55" s="482"/>
      <c r="H55" s="482"/>
      <c r="I55" s="440"/>
      <c r="J55" s="440"/>
      <c r="K55" s="440"/>
    </row>
    <row r="56" spans="1:11" x14ac:dyDescent="0.2">
      <c r="A56" s="440"/>
      <c r="B56" s="478" t="s">
        <v>50</v>
      </c>
      <c r="C56" s="479">
        <f t="shared" si="0"/>
        <v>0.60465587906601459</v>
      </c>
      <c r="D56" s="481">
        <f>G35</f>
        <v>886183.21496035927</v>
      </c>
      <c r="E56" s="480">
        <f>E58</f>
        <v>0.85</v>
      </c>
      <c r="F56" s="481">
        <f t="shared" si="1"/>
        <v>886183.21496035927</v>
      </c>
      <c r="G56" s="482"/>
      <c r="H56" s="482"/>
      <c r="I56" s="440"/>
      <c r="J56" s="440"/>
      <c r="K56" s="440"/>
    </row>
    <row r="57" spans="1:11" x14ac:dyDescent="0.2">
      <c r="A57" s="440"/>
      <c r="B57" s="478" t="s">
        <v>51</v>
      </c>
      <c r="C57" s="479">
        <f t="shared" si="0"/>
        <v>0.60465587906601459</v>
      </c>
      <c r="D57" s="481">
        <f>D55+D56</f>
        <v>886183.21496035927</v>
      </c>
      <c r="E57" s="480">
        <f>E56+E55</f>
        <v>0.85</v>
      </c>
      <c r="F57" s="481">
        <f t="shared" si="1"/>
        <v>886183.21496035927</v>
      </c>
      <c r="G57" s="482"/>
      <c r="H57" s="482"/>
      <c r="I57" s="440"/>
      <c r="J57" s="440"/>
      <c r="K57" s="440"/>
    </row>
    <row r="58" spans="1:11" x14ac:dyDescent="0.2">
      <c r="A58" s="440"/>
      <c r="B58" s="478" t="s">
        <v>392</v>
      </c>
      <c r="C58" s="478"/>
      <c r="D58" s="481"/>
      <c r="E58" s="480">
        <f>'Kopējie pieņēmumi'!B37</f>
        <v>0.85</v>
      </c>
      <c r="F58" s="478"/>
      <c r="G58" s="482"/>
      <c r="H58" s="482"/>
      <c r="I58" s="440"/>
      <c r="J58" s="440"/>
      <c r="K58" s="440"/>
    </row>
    <row r="59" spans="1:11" x14ac:dyDescent="0.2">
      <c r="A59" s="440"/>
      <c r="B59" s="478" t="s">
        <v>52</v>
      </c>
      <c r="C59" s="483"/>
      <c r="D59" s="481">
        <f>SUM(Aprēķini!B115)</f>
        <v>1465599.27</v>
      </c>
      <c r="E59" s="483"/>
      <c r="F59" s="484">
        <f>E29</f>
        <v>1042568.488188658</v>
      </c>
      <c r="G59" s="483"/>
      <c r="H59" s="476"/>
      <c r="I59" s="440"/>
      <c r="J59" s="440"/>
      <c r="K59" s="440"/>
    </row>
    <row r="60" spans="1:11" x14ac:dyDescent="0.2">
      <c r="A60" s="440"/>
      <c r="B60" s="478" t="s">
        <v>53</v>
      </c>
      <c r="C60" s="485">
        <f>'Datu ievade'!B221</f>
        <v>5.0000000000000001E-3</v>
      </c>
      <c r="D60" s="486"/>
      <c r="E60" s="487"/>
      <c r="F60" s="487"/>
      <c r="G60" s="487"/>
      <c r="H60" s="487"/>
      <c r="I60" s="440"/>
      <c r="J60" s="440"/>
      <c r="K60" s="440"/>
    </row>
    <row r="61" spans="1:11" x14ac:dyDescent="0.2">
      <c r="A61" s="440"/>
      <c r="B61" s="478" t="s">
        <v>54</v>
      </c>
      <c r="C61" s="488">
        <f>'Datu ievade'!B222</f>
        <v>30</v>
      </c>
      <c r="D61" s="478"/>
      <c r="E61" s="487"/>
      <c r="F61" s="487"/>
      <c r="G61" s="487"/>
      <c r="H61" s="487"/>
      <c r="I61" s="440"/>
      <c r="J61" s="440"/>
      <c r="K61" s="440"/>
    </row>
    <row r="62" spans="1:11" x14ac:dyDescent="0.2">
      <c r="A62" s="440"/>
      <c r="B62" s="440"/>
      <c r="C62" s="440"/>
      <c r="D62" s="440"/>
      <c r="E62" s="440"/>
      <c r="F62" s="440"/>
      <c r="G62" s="440"/>
      <c r="H62" s="440"/>
      <c r="I62" s="440"/>
      <c r="J62" s="440"/>
      <c r="K62" s="440"/>
    </row>
    <row r="63" spans="1:11" x14ac:dyDescent="0.2">
      <c r="A63" s="440"/>
      <c r="B63" s="440"/>
      <c r="C63" s="440"/>
      <c r="D63" s="440"/>
      <c r="E63" s="440"/>
      <c r="F63" s="440"/>
      <c r="G63" s="440"/>
      <c r="H63" s="440"/>
      <c r="I63" s="440"/>
      <c r="J63" s="440"/>
      <c r="K63" s="440"/>
    </row>
    <row r="64" spans="1:11" x14ac:dyDescent="0.2">
      <c r="A64" s="440"/>
      <c r="B64" s="440"/>
      <c r="C64" s="440"/>
      <c r="D64" s="440"/>
      <c r="E64" s="440"/>
      <c r="F64" s="440"/>
      <c r="G64" s="440"/>
      <c r="H64" s="440"/>
      <c r="I64" s="440"/>
      <c r="J64" s="440"/>
      <c r="K64" s="440"/>
    </row>
    <row r="65" spans="1:11" x14ac:dyDescent="0.2">
      <c r="A65" s="440"/>
      <c r="B65" s="440"/>
      <c r="C65" s="440"/>
      <c r="D65" s="440"/>
      <c r="E65" s="440"/>
      <c r="F65" s="440"/>
      <c r="G65" s="440"/>
      <c r="H65" s="440"/>
      <c r="I65" s="440"/>
      <c r="J65" s="440"/>
      <c r="K65" s="440"/>
    </row>
    <row r="66" spans="1:11" x14ac:dyDescent="0.2">
      <c r="A66" s="440"/>
      <c r="B66" s="440"/>
      <c r="C66" s="440"/>
      <c r="D66" s="440"/>
      <c r="E66" s="440"/>
      <c r="F66" s="440"/>
      <c r="G66" s="440"/>
      <c r="H66" s="440"/>
      <c r="I66" s="440"/>
      <c r="J66" s="440"/>
      <c r="K66" s="440"/>
    </row>
    <row r="67" spans="1:11" x14ac:dyDescent="0.2">
      <c r="A67" s="440"/>
      <c r="B67" s="440"/>
      <c r="C67" s="440"/>
      <c r="D67" s="440"/>
      <c r="E67" s="440"/>
      <c r="F67" s="440"/>
      <c r="G67" s="440"/>
      <c r="H67" s="440"/>
      <c r="I67" s="440"/>
      <c r="J67" s="440"/>
      <c r="K67" s="440"/>
    </row>
    <row r="68" spans="1:11" x14ac:dyDescent="0.2">
      <c r="A68" s="440"/>
      <c r="B68" s="440"/>
      <c r="C68" s="440"/>
      <c r="D68" s="440"/>
      <c r="E68" s="440"/>
      <c r="F68" s="440"/>
      <c r="G68" s="440"/>
      <c r="H68" s="440"/>
      <c r="I68" s="440"/>
      <c r="J68" s="440"/>
      <c r="K68" s="440"/>
    </row>
    <row r="69" spans="1:11" x14ac:dyDescent="0.2">
      <c r="A69" s="440"/>
      <c r="B69" s="440"/>
      <c r="C69" s="440"/>
      <c r="D69" s="440"/>
      <c r="E69" s="440"/>
      <c r="F69" s="440"/>
      <c r="G69" s="440"/>
      <c r="H69" s="440"/>
      <c r="I69" s="440"/>
      <c r="J69" s="440"/>
      <c r="K69" s="440"/>
    </row>
    <row r="70" spans="1:11" x14ac:dyDescent="0.2">
      <c r="A70" s="440"/>
      <c r="B70" s="440"/>
      <c r="C70" s="440"/>
      <c r="D70" s="440"/>
      <c r="E70" s="440"/>
      <c r="F70" s="440"/>
      <c r="G70" s="440"/>
      <c r="H70" s="440"/>
      <c r="I70" s="440"/>
      <c r="J70" s="440"/>
      <c r="K70" s="440"/>
    </row>
    <row r="71" spans="1:11" x14ac:dyDescent="0.2">
      <c r="A71" s="440"/>
      <c r="B71" s="440"/>
      <c r="C71" s="440"/>
      <c r="D71" s="440"/>
      <c r="E71" s="440"/>
      <c r="F71" s="440"/>
      <c r="G71" s="440"/>
      <c r="H71" s="440"/>
      <c r="I71" s="440"/>
      <c r="J71" s="440"/>
      <c r="K71" s="440"/>
    </row>
    <row r="72" spans="1:11" x14ac:dyDescent="0.2">
      <c r="A72" s="440"/>
      <c r="B72" s="440"/>
      <c r="C72" s="440"/>
      <c r="D72" s="440"/>
      <c r="E72" s="440"/>
      <c r="F72" s="440"/>
      <c r="G72" s="440"/>
      <c r="H72" s="440"/>
      <c r="I72" s="440"/>
      <c r="J72" s="440"/>
      <c r="K72" s="440"/>
    </row>
    <row r="73" spans="1:11" x14ac:dyDescent="0.2">
      <c r="A73" s="440"/>
      <c r="B73" s="440"/>
      <c r="C73" s="440"/>
      <c r="D73" s="440"/>
      <c r="E73" s="440"/>
      <c r="F73" s="440"/>
      <c r="G73" s="440"/>
      <c r="H73" s="440"/>
      <c r="I73" s="440"/>
      <c r="J73" s="440"/>
      <c r="K73" s="440"/>
    </row>
    <row r="74" spans="1:11" x14ac:dyDescent="0.2">
      <c r="A74" s="440"/>
      <c r="B74" s="440"/>
      <c r="C74" s="440"/>
      <c r="D74" s="440"/>
      <c r="E74" s="440"/>
      <c r="F74" s="440"/>
      <c r="G74" s="440"/>
      <c r="H74" s="440"/>
      <c r="I74" s="440"/>
      <c r="J74" s="440"/>
      <c r="K74" s="440"/>
    </row>
    <row r="75" spans="1:11" x14ac:dyDescent="0.2">
      <c r="A75" s="440"/>
      <c r="B75" s="440"/>
      <c r="C75" s="440"/>
      <c r="D75" s="440"/>
      <c r="E75" s="440"/>
      <c r="F75" s="440"/>
      <c r="G75" s="440"/>
      <c r="H75" s="440"/>
      <c r="I75" s="440"/>
      <c r="J75" s="440"/>
      <c r="K75" s="440"/>
    </row>
    <row r="76" spans="1:11" x14ac:dyDescent="0.2">
      <c r="A76" s="440"/>
      <c r="B76" s="440"/>
      <c r="C76" s="440"/>
      <c r="D76" s="440"/>
      <c r="E76" s="440"/>
      <c r="F76" s="440"/>
      <c r="G76" s="440"/>
      <c r="H76" s="440"/>
      <c r="I76" s="440"/>
      <c r="J76" s="440"/>
      <c r="K76" s="440"/>
    </row>
    <row r="77" spans="1:11" x14ac:dyDescent="0.2">
      <c r="A77" s="440"/>
      <c r="B77" s="440"/>
      <c r="C77" s="440"/>
      <c r="D77" s="440"/>
      <c r="E77" s="440"/>
      <c r="F77" s="440"/>
      <c r="G77" s="440"/>
      <c r="H77" s="440"/>
      <c r="I77" s="440"/>
      <c r="J77" s="440"/>
      <c r="K77" s="440"/>
    </row>
    <row r="78" spans="1:11" x14ac:dyDescent="0.2">
      <c r="A78" s="440"/>
      <c r="B78" s="440"/>
      <c r="C78" s="440"/>
      <c r="D78" s="440"/>
      <c r="E78" s="440"/>
      <c r="F78" s="440"/>
      <c r="G78" s="440"/>
      <c r="H78" s="440"/>
      <c r="I78" s="440"/>
      <c r="J78" s="440"/>
      <c r="K78" s="440"/>
    </row>
    <row r="79" spans="1:11" x14ac:dyDescent="0.2">
      <c r="A79" s="440"/>
      <c r="B79" s="440"/>
      <c r="C79" s="440"/>
      <c r="D79" s="440"/>
      <c r="E79" s="440"/>
      <c r="F79" s="440"/>
      <c r="G79" s="440"/>
      <c r="H79" s="440"/>
      <c r="I79" s="440"/>
      <c r="J79" s="440"/>
      <c r="K79" s="440"/>
    </row>
    <row r="80" spans="1:11" x14ac:dyDescent="0.2">
      <c r="A80" s="440"/>
      <c r="B80" s="440"/>
      <c r="C80" s="440"/>
      <c r="D80" s="440"/>
      <c r="E80" s="440"/>
      <c r="F80" s="440"/>
      <c r="G80" s="440"/>
      <c r="H80" s="440"/>
      <c r="I80" s="440"/>
      <c r="J80" s="440"/>
      <c r="K80" s="440"/>
    </row>
    <row r="81" spans="1:11" x14ac:dyDescent="0.2">
      <c r="A81" s="440"/>
      <c r="B81" s="440"/>
      <c r="C81" s="440"/>
      <c r="D81" s="440"/>
      <c r="E81" s="440"/>
      <c r="F81" s="440"/>
      <c r="G81" s="440"/>
      <c r="H81" s="440"/>
      <c r="I81" s="440"/>
      <c r="J81" s="440"/>
      <c r="K81" s="440"/>
    </row>
    <row r="82" spans="1:11" x14ac:dyDescent="0.2">
      <c r="A82" s="440"/>
      <c r="B82" s="440"/>
      <c r="C82" s="440"/>
      <c r="D82" s="440"/>
      <c r="E82" s="440"/>
      <c r="F82" s="440"/>
      <c r="G82" s="440"/>
      <c r="H82" s="440"/>
      <c r="I82" s="440"/>
      <c r="J82" s="440"/>
      <c r="K82" s="440"/>
    </row>
  </sheetData>
  <phoneticPr fontId="2" type="noConversion"/>
  <pageMargins left="0.7" right="0.7" top="0.75" bottom="0.75" header="0.3" footer="0.3"/>
  <pageSetup paperSize="9" scale="5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
  <sheetViews>
    <sheetView showGridLines="0" tabSelected="1" zoomScale="85" workbookViewId="0">
      <pane xSplit="1" topLeftCell="B1" activePane="topRight" state="frozen"/>
      <selection pane="topRight" activeCell="B18" sqref="B18"/>
    </sheetView>
  </sheetViews>
  <sheetFormatPr defaultRowHeight="11.25" x14ac:dyDescent="0.2"/>
  <cols>
    <col min="1" max="1" width="57" style="502" customWidth="1"/>
    <col min="2" max="34" width="12.28515625" style="502" customWidth="1"/>
    <col min="35" max="16384" width="9.140625" style="502"/>
  </cols>
  <sheetData>
    <row r="1" spans="1:34" ht="19.5" x14ac:dyDescent="0.2">
      <c r="A1" s="492" t="str">
        <f>'Datu ievade'!B12</f>
        <v>SIA "Dobeles Ūdens"</v>
      </c>
    </row>
    <row r="2" spans="1:34" ht="18" x14ac:dyDescent="0.2">
      <c r="A2" s="489" t="str">
        <f>'Datu ievade'!B13</f>
        <v>"Kanalizācijas tīklu paplašināšana Dobeles aglomerācijā" II kārta</v>
      </c>
    </row>
    <row r="3" spans="1:34" ht="19.5" x14ac:dyDescent="0.2">
      <c r="A3" s="501" t="s">
        <v>92</v>
      </c>
      <c r="B3" s="500"/>
      <c r="C3" s="500"/>
    </row>
    <row r="5" spans="1:34" ht="0.75" customHeight="1" x14ac:dyDescent="0.2"/>
    <row r="6" spans="1:34" ht="15" x14ac:dyDescent="0.2">
      <c r="A6" s="428" t="s">
        <v>93</v>
      </c>
    </row>
    <row r="7" spans="1:34" s="28" customFormat="1" ht="12.75" x14ac:dyDescent="0.2">
      <c r="A7" s="30"/>
      <c r="B7" s="522">
        <f>Aprēķini!B6</f>
        <v>2017</v>
      </c>
      <c r="C7" s="522">
        <f t="shared" ref="C7:AG7" si="0">B7+1</f>
        <v>2018</v>
      </c>
      <c r="D7" s="522">
        <f t="shared" si="0"/>
        <v>2019</v>
      </c>
      <c r="E7" s="522">
        <f t="shared" si="0"/>
        <v>2020</v>
      </c>
      <c r="F7" s="522">
        <f t="shared" si="0"/>
        <v>2021</v>
      </c>
      <c r="G7" s="522">
        <f t="shared" si="0"/>
        <v>2022</v>
      </c>
      <c r="H7" s="522">
        <f t="shared" si="0"/>
        <v>2023</v>
      </c>
      <c r="I7" s="522">
        <f t="shared" si="0"/>
        <v>2024</v>
      </c>
      <c r="J7" s="522">
        <f t="shared" si="0"/>
        <v>2025</v>
      </c>
      <c r="K7" s="522">
        <f t="shared" si="0"/>
        <v>2026</v>
      </c>
      <c r="L7" s="522">
        <f t="shared" si="0"/>
        <v>2027</v>
      </c>
      <c r="M7" s="522">
        <f t="shared" si="0"/>
        <v>2028</v>
      </c>
      <c r="N7" s="522">
        <f t="shared" si="0"/>
        <v>2029</v>
      </c>
      <c r="O7" s="522">
        <f t="shared" si="0"/>
        <v>2030</v>
      </c>
      <c r="P7" s="522">
        <f t="shared" si="0"/>
        <v>2031</v>
      </c>
      <c r="Q7" s="522">
        <f t="shared" si="0"/>
        <v>2032</v>
      </c>
      <c r="R7" s="522">
        <f t="shared" si="0"/>
        <v>2033</v>
      </c>
      <c r="S7" s="522">
        <f t="shared" si="0"/>
        <v>2034</v>
      </c>
      <c r="T7" s="522">
        <f t="shared" si="0"/>
        <v>2035</v>
      </c>
      <c r="U7" s="522">
        <f t="shared" si="0"/>
        <v>2036</v>
      </c>
      <c r="V7" s="522">
        <f t="shared" si="0"/>
        <v>2037</v>
      </c>
      <c r="W7" s="522">
        <f t="shared" si="0"/>
        <v>2038</v>
      </c>
      <c r="X7" s="522">
        <f t="shared" si="0"/>
        <v>2039</v>
      </c>
      <c r="Y7" s="522">
        <f t="shared" si="0"/>
        <v>2040</v>
      </c>
      <c r="Z7" s="522">
        <f t="shared" si="0"/>
        <v>2041</v>
      </c>
      <c r="AA7" s="522">
        <f t="shared" si="0"/>
        <v>2042</v>
      </c>
      <c r="AB7" s="522">
        <f t="shared" si="0"/>
        <v>2043</v>
      </c>
      <c r="AC7" s="522">
        <f t="shared" si="0"/>
        <v>2044</v>
      </c>
      <c r="AD7" s="522">
        <f t="shared" si="0"/>
        <v>2045</v>
      </c>
      <c r="AE7" s="522">
        <f t="shared" si="0"/>
        <v>2046</v>
      </c>
      <c r="AF7" s="522">
        <f t="shared" si="0"/>
        <v>2047</v>
      </c>
      <c r="AG7" s="522">
        <f t="shared" si="0"/>
        <v>2048</v>
      </c>
      <c r="AH7" s="522">
        <f>AG7+1</f>
        <v>2049</v>
      </c>
    </row>
    <row r="8" spans="1:34" s="28" customFormat="1" ht="12.75" x14ac:dyDescent="0.2">
      <c r="A8" s="523" t="s">
        <v>55</v>
      </c>
      <c r="B8" s="548"/>
      <c r="C8" s="548"/>
      <c r="D8" s="548"/>
      <c r="E8" s="548"/>
      <c r="F8" s="548"/>
      <c r="G8" s="548"/>
      <c r="H8" s="548"/>
      <c r="I8" s="548"/>
      <c r="J8" s="548"/>
      <c r="K8" s="548"/>
      <c r="L8" s="548"/>
      <c r="M8" s="548"/>
      <c r="N8" s="548"/>
      <c r="O8" s="548"/>
      <c r="P8" s="548"/>
      <c r="Q8" s="548"/>
      <c r="R8" s="548"/>
      <c r="S8" s="548"/>
      <c r="T8" s="548"/>
      <c r="U8" s="548"/>
      <c r="V8" s="548"/>
      <c r="W8" s="548"/>
      <c r="X8" s="548"/>
      <c r="Y8" s="548"/>
      <c r="Z8" s="548"/>
      <c r="AA8" s="548"/>
      <c r="AB8" s="548"/>
      <c r="AC8" s="548"/>
      <c r="AD8" s="548"/>
      <c r="AE8" s="548"/>
      <c r="AF8" s="548"/>
      <c r="AG8" s="548"/>
      <c r="AH8" s="548"/>
    </row>
    <row r="9" spans="1:34" s="28" customFormat="1" ht="12.75" x14ac:dyDescent="0.2">
      <c r="A9" s="30" t="s">
        <v>600</v>
      </c>
      <c r="B9" s="524">
        <f>Aprēķini!B290</f>
        <v>-57124.681600000098</v>
      </c>
      <c r="C9" s="524">
        <f>Aprēķini!C290</f>
        <v>-17554.792483870027</v>
      </c>
      <c r="D9" s="524">
        <f>Aprēķini!D290</f>
        <v>25998.950339820352</v>
      </c>
      <c r="E9" s="524">
        <f>Aprēķini!E290</f>
        <v>54786.621438922302</v>
      </c>
      <c r="F9" s="524">
        <f>Aprēķini!F290</f>
        <v>55685.530675180373</v>
      </c>
      <c r="G9" s="524">
        <f>Aprēķini!G290</f>
        <v>56574.660842828918</v>
      </c>
      <c r="H9" s="524">
        <f>Aprēķini!H290</f>
        <v>57215.264725152345</v>
      </c>
      <c r="I9" s="524">
        <f>Aprēķini!I290</f>
        <v>57854.257246929279</v>
      </c>
      <c r="J9" s="524">
        <f>Aprēķini!J290</f>
        <v>62311.337221248192</v>
      </c>
      <c r="K9" s="524">
        <f>Aprēķini!K290</f>
        <v>63299.893475570832</v>
      </c>
      <c r="L9" s="524">
        <f>Aprēķini!L290</f>
        <v>64220.936116073688</v>
      </c>
      <c r="M9" s="524">
        <f>Aprēķini!M290</f>
        <v>64793.555024030909</v>
      </c>
      <c r="N9" s="524">
        <f>Aprēķini!N290</f>
        <v>65065.588977573672</v>
      </c>
      <c r="O9" s="524">
        <f>Aprēķini!O290</f>
        <v>64071.038925961853</v>
      </c>
      <c r="P9" s="524">
        <f>Aprēķini!P290</f>
        <v>64955.645808733621</v>
      </c>
      <c r="Q9" s="524">
        <f>Aprēķini!Q290</f>
        <v>68387.834342046495</v>
      </c>
      <c r="R9" s="524">
        <f>Aprēķini!R290</f>
        <v>66884.482710848388</v>
      </c>
      <c r="S9" s="524">
        <f>Aprēķini!S290</f>
        <v>71427.274772733945</v>
      </c>
      <c r="T9" s="524">
        <f>Aprēķini!T290</f>
        <v>68004.353980956832</v>
      </c>
      <c r="U9" s="524">
        <f>Aprēķini!U290</f>
        <v>69109.370351727208</v>
      </c>
      <c r="V9" s="524">
        <f>Aprēķini!V290</f>
        <v>70693.562639034877</v>
      </c>
      <c r="W9" s="524">
        <f>Aprēķini!W290</f>
        <v>71997.002742351644</v>
      </c>
      <c r="X9" s="524">
        <f>Aprēķini!X290</f>
        <v>75726.838089118828</v>
      </c>
      <c r="Y9" s="524">
        <f>Aprēķini!Y290</f>
        <v>77030.278192435013</v>
      </c>
      <c r="Z9" s="524">
        <f>Aprēķini!Z290</f>
        <v>77985.294563205505</v>
      </c>
      <c r="AA9" s="524">
        <f>Aprēķini!AA290</f>
        <v>79288.73466652169</v>
      </c>
      <c r="AB9" s="524">
        <f>Aprēķini!AB290</f>
        <v>80523.089795472566</v>
      </c>
      <c r="AC9" s="524">
        <f>Aprēķini!AC290</f>
        <v>83978.515344928455</v>
      </c>
      <c r="AD9" s="524">
        <f>Aprēķini!AD290</f>
        <v>99706.820697264222</v>
      </c>
      <c r="AE9" s="524">
        <f>Aprēķini!AE290</f>
        <v>101013.86141875866</v>
      </c>
      <c r="AF9" s="524">
        <f>Aprēķini!AF290</f>
        <v>93425.858824333525</v>
      </c>
      <c r="AG9" s="524">
        <f>Aprēķini!AG290</f>
        <v>94898.444636641158</v>
      </c>
      <c r="AH9" s="524">
        <f>Aprēķini!AH290</f>
        <v>96371.03044894879</v>
      </c>
    </row>
    <row r="10" spans="1:34" s="289" customFormat="1" ht="12.75" x14ac:dyDescent="0.2">
      <c r="A10" s="549" t="s">
        <v>94</v>
      </c>
      <c r="B10" s="550">
        <f>-'Saimnieciskas pamatdarbibas NP'!B109*'Datu ievade'!B203</f>
        <v>-11538.88652</v>
      </c>
      <c r="C10" s="550">
        <f>-'Saimnieciskas pamatdarbibas NP'!C109*'Datu ievade'!B209</f>
        <v>-11579.279543059547</v>
      </c>
      <c r="D10" s="550">
        <f>-'Saimnieciskas pamatdarbibas NP'!D109*'Datu ievade'!C209</f>
        <v>-13733.792866991289</v>
      </c>
      <c r="E10" s="550">
        <f>-'Saimnieciskas pamatdarbibas NP'!E109*'Datu ievade'!D209</f>
        <v>-15124.67923461498</v>
      </c>
      <c r="F10" s="550">
        <f>-'Saimnieciskas pamatdarbibas NP'!F109*'Datu ievade'!E209</f>
        <v>-15344.308244639496</v>
      </c>
      <c r="G10" s="550">
        <f>-'Saimnieciskas pamatdarbibas NP'!G109*'Datu ievade'!F209</f>
        <v>-15564.580586156637</v>
      </c>
      <c r="H10" s="550">
        <f>-'Saimnieciskas pamatdarbibas NP'!H109*'Datu ievade'!G209</f>
        <v>-15759.169899238736</v>
      </c>
      <c r="I10" s="550">
        <f>-'Saimnieciskas pamatdarbibas NP'!I109*'Datu ievade'!H209</f>
        <v>-15953.734070552096</v>
      </c>
      <c r="J10" s="550">
        <f>-'Saimnieciskas pamatdarbibas NP'!J109*'Datu ievade'!I209</f>
        <v>-15196.283813536993</v>
      </c>
      <c r="K10" s="550">
        <f>-'Saimnieciskas pamatdarbibas NP'!K109*'Datu ievade'!J209</f>
        <v>-15383.914080131452</v>
      </c>
      <c r="L10" s="550">
        <f>-'Saimnieciskas pamatdarbibas NP'!L109*'Datu ievade'!K209</f>
        <v>-15623.666484158617</v>
      </c>
      <c r="M10" s="550">
        <f>-'Saimnieciskas pamatdarbibas NP'!M109*'Datu ievade'!L209</f>
        <v>-15858.192532197594</v>
      </c>
      <c r="N10" s="550">
        <f>-'Saimnieciskas pamatdarbibas NP'!N109*'Datu ievade'!M209</f>
        <v>-15998.691313265632</v>
      </c>
      <c r="O10" s="550">
        <f>-'Saimnieciskas pamatdarbibas NP'!O109*'Datu ievade'!N209</f>
        <v>-15920.696670382098</v>
      </c>
      <c r="P10" s="550">
        <f>-'Saimnieciskas pamatdarbibas NP'!P109*'Datu ievade'!O209</f>
        <v>-16191.71292870561</v>
      </c>
      <c r="Q10" s="550">
        <f>-'Saimnieciskas pamatdarbibas NP'!Q109*'Datu ievade'!P209</f>
        <v>-16452.087911787232</v>
      </c>
      <c r="R10" s="550">
        <f>-'Saimnieciskas pamatdarbibas NP'!R109*'Datu ievade'!Q209</f>
        <v>-16056.369792401189</v>
      </c>
      <c r="S10" s="550">
        <f>-'Saimnieciskas pamatdarbibas NP'!S109*'Datu ievade'!R209</f>
        <v>-16124.7838284114</v>
      </c>
      <c r="T10" s="550">
        <f>-'Saimnieciskas pamatdarbibas NP'!T109*'Datu ievade'!S209</f>
        <v>-16348.692171616676</v>
      </c>
      <c r="U10" s="550">
        <f>-'Saimnieciskas pamatdarbibas NP'!U109*'Datu ievade'!T209</f>
        <v>-16640.519572260164</v>
      </c>
      <c r="V10" s="550">
        <f>-'Saimnieciskas pamatdarbibas NP'!V109*'Datu ievade'!U209</f>
        <v>-17052.03461165171</v>
      </c>
      <c r="W10" s="550">
        <f>-'Saimnieciskas pamatdarbibas NP'!W109*'Datu ievade'!V209</f>
        <v>-17349.088368283388</v>
      </c>
      <c r="X10" s="550">
        <f>-'Saimnieciskas pamatdarbibas NP'!X109*'Datu ievade'!W209</f>
        <v>-17682.538053566826</v>
      </c>
      <c r="Y10" s="550">
        <f>-'Saimnieciskas pamatdarbibas NP'!Y109*'Datu ievade'!X209</f>
        <v>-17979.591810198501</v>
      </c>
      <c r="Z10" s="550">
        <f>-'Saimnieciskas pamatdarbibas NP'!Z109*'Datu ievade'!Y209</f>
        <v>-18271.419210841992</v>
      </c>
      <c r="AA10" s="550">
        <f>-'Saimnieciskas pamatdarbibas NP'!AA109*'Datu ievade'!Z209</f>
        <v>-18568.472967473663</v>
      </c>
      <c r="AB10" s="550">
        <f>-'Saimnieciskas pamatdarbibas NP'!AB109*'Datu ievade'!AA209</f>
        <v>-18917.625291129851</v>
      </c>
      <c r="AC10" s="550">
        <f>-'Saimnieciskas pamatdarbibas NP'!AC109*'Datu ievade'!AB209</f>
        <v>-19813.093671093626</v>
      </c>
      <c r="AD10" s="550">
        <f>-'Saimnieciskas pamatdarbibas NP'!AD109*'Datu ievade'!AC209</f>
        <v>-21615.355248100594</v>
      </c>
      <c r="AE10" s="550">
        <f>-'Saimnieciskas pamatdarbibas NP'!AE109*'Datu ievade'!AD209</f>
        <v>-21995.747855644939</v>
      </c>
      <c r="AF10" s="550">
        <f>-'Saimnieciskas pamatdarbibas NP'!AF109*'Datu ievade'!AE209</f>
        <v>-22292.330204112801</v>
      </c>
      <c r="AG10" s="550">
        <f>-'Saimnieciskas pamatdarbibas NP'!AG109*'Datu ievade'!AF209</f>
        <v>-22724.821378681656</v>
      </c>
      <c r="AH10" s="550">
        <f>-'Saimnieciskas pamatdarbibas NP'!AH109*'Datu ievade'!AG209</f>
        <v>-23157.312553250511</v>
      </c>
    </row>
    <row r="11" spans="1:34" s="289" customFormat="1" ht="12.75" x14ac:dyDescent="0.2">
      <c r="A11" s="549" t="s">
        <v>95</v>
      </c>
      <c r="B11" s="550">
        <f>Aprēķini!B289</f>
        <v>252578</v>
      </c>
      <c r="C11" s="550">
        <f>Aprēķini!C289</f>
        <v>252578</v>
      </c>
      <c r="D11" s="550">
        <f>Aprēķini!D289</f>
        <v>279866.96880000003</v>
      </c>
      <c r="E11" s="550">
        <f>Aprēķini!E289</f>
        <v>289027.05180000002</v>
      </c>
      <c r="F11" s="550">
        <f>Aprēķini!F289</f>
        <v>289027.05180000002</v>
      </c>
      <c r="G11" s="550">
        <f>Aprēķini!G289</f>
        <v>289027.05180000002</v>
      </c>
      <c r="H11" s="550">
        <f>Aprēķini!H289</f>
        <v>289027.05180000002</v>
      </c>
      <c r="I11" s="550">
        <f>Aprēķini!I289</f>
        <v>289027.05180000002</v>
      </c>
      <c r="J11" s="550">
        <f>Aprēķini!J289</f>
        <v>289027.05180000002</v>
      </c>
      <c r="K11" s="550">
        <f>Aprēķini!K289</f>
        <v>289027.05180000002</v>
      </c>
      <c r="L11" s="550">
        <f>Aprēķini!L289</f>
        <v>289027.05180000002</v>
      </c>
      <c r="M11" s="550">
        <f>Aprēķini!M289</f>
        <v>289027.05180000002</v>
      </c>
      <c r="N11" s="550">
        <f>Aprēķini!N289</f>
        <v>282884.05180000002</v>
      </c>
      <c r="O11" s="550">
        <f>Aprēķini!O289</f>
        <v>255685.9688</v>
      </c>
      <c r="P11" s="550">
        <f>Aprēķini!P289</f>
        <v>255568.9688</v>
      </c>
      <c r="Q11" s="550">
        <f>Aprēķini!Q289</f>
        <v>252194.9688</v>
      </c>
      <c r="R11" s="550">
        <f>Aprēķini!R289</f>
        <v>161716.9688</v>
      </c>
      <c r="S11" s="550">
        <f>Aprēķini!S289</f>
        <v>143384.9688</v>
      </c>
      <c r="T11" s="550">
        <f>Aprēķini!T289</f>
        <v>143384.9688</v>
      </c>
      <c r="U11" s="550">
        <f>Aprēķini!U289</f>
        <v>143384.9688</v>
      </c>
      <c r="V11" s="550">
        <f>Aprēķini!V289</f>
        <v>143384.9688</v>
      </c>
      <c r="W11" s="550">
        <f>Aprēķini!W289</f>
        <v>143384.9688</v>
      </c>
      <c r="X11" s="550">
        <f>Aprēķini!X289</f>
        <v>143384.9688</v>
      </c>
      <c r="Y11" s="550">
        <f>Aprēķini!Y289</f>
        <v>143384.9688</v>
      </c>
      <c r="Z11" s="550">
        <f>Aprēķini!Z289</f>
        <v>143384.9688</v>
      </c>
      <c r="AA11" s="550">
        <f>Aprēķini!AA289</f>
        <v>143384.9688</v>
      </c>
      <c r="AB11" s="550">
        <f>Aprēķini!AB289</f>
        <v>143384.9688</v>
      </c>
      <c r="AC11" s="550">
        <f>Aprēķini!AC289</f>
        <v>143384.9688</v>
      </c>
      <c r="AD11" s="550">
        <f>Aprēķini!AD289</f>
        <v>143384.9688</v>
      </c>
      <c r="AE11" s="550">
        <f>Aprēķini!AE289</f>
        <v>143384.9688</v>
      </c>
      <c r="AF11" s="550">
        <f>Aprēķini!AF289</f>
        <v>143384.9688</v>
      </c>
      <c r="AG11" s="550">
        <f>Aprēķini!AG289</f>
        <v>143384.9688</v>
      </c>
      <c r="AH11" s="550">
        <f>Aprēķini!AH289</f>
        <v>143384.9688</v>
      </c>
    </row>
    <row r="12" spans="1:34" s="289" customFormat="1" ht="12.75" x14ac:dyDescent="0.2">
      <c r="A12" s="549" t="s">
        <v>589</v>
      </c>
      <c r="B12" s="550">
        <v>0</v>
      </c>
      <c r="C12" s="550">
        <v>0</v>
      </c>
      <c r="D12" s="550">
        <v>0</v>
      </c>
      <c r="E12" s="550">
        <v>0</v>
      </c>
      <c r="F12" s="550">
        <v>0</v>
      </c>
      <c r="G12" s="550">
        <v>0</v>
      </c>
      <c r="H12" s="550">
        <v>0</v>
      </c>
      <c r="I12" s="550">
        <v>0</v>
      </c>
      <c r="J12" s="550">
        <v>0</v>
      </c>
      <c r="K12" s="550">
        <v>0</v>
      </c>
      <c r="L12" s="550">
        <v>0</v>
      </c>
      <c r="M12" s="550">
        <v>0</v>
      </c>
      <c r="N12" s="550">
        <v>0</v>
      </c>
      <c r="O12" s="550">
        <v>0</v>
      </c>
      <c r="P12" s="550">
        <v>0</v>
      </c>
      <c r="Q12" s="550">
        <v>0</v>
      </c>
      <c r="R12" s="550">
        <v>0</v>
      </c>
      <c r="S12" s="550">
        <v>0</v>
      </c>
      <c r="T12" s="550">
        <v>0</v>
      </c>
      <c r="U12" s="550">
        <v>0</v>
      </c>
      <c r="V12" s="550">
        <v>0</v>
      </c>
      <c r="W12" s="550">
        <v>0</v>
      </c>
      <c r="X12" s="550">
        <v>0</v>
      </c>
      <c r="Y12" s="550">
        <v>0</v>
      </c>
      <c r="Z12" s="550">
        <v>0</v>
      </c>
      <c r="AA12" s="550">
        <v>0</v>
      </c>
      <c r="AB12" s="550">
        <v>0</v>
      </c>
      <c r="AC12" s="550">
        <v>0</v>
      </c>
      <c r="AD12" s="550">
        <v>0</v>
      </c>
      <c r="AE12" s="550">
        <v>0</v>
      </c>
      <c r="AF12" s="550">
        <v>0</v>
      </c>
      <c r="AG12" s="550">
        <v>0</v>
      </c>
      <c r="AH12" s="550">
        <v>0</v>
      </c>
    </row>
    <row r="13" spans="1:34" s="28" customFormat="1" ht="12.75" x14ac:dyDescent="0.2">
      <c r="A13" s="523" t="s">
        <v>96</v>
      </c>
      <c r="B13" s="525">
        <f t="shared" ref="B13:AG13" si="1">SUM(B9:B12)</f>
        <v>183914.4318799999</v>
      </c>
      <c r="C13" s="525">
        <f t="shared" si="1"/>
        <v>223443.92797307041</v>
      </c>
      <c r="D13" s="525">
        <f t="shared" si="1"/>
        <v>292132.12627282907</v>
      </c>
      <c r="E13" s="525">
        <f>SUM(E9:E12)</f>
        <v>328688.99400430731</v>
      </c>
      <c r="F13" s="525">
        <f t="shared" si="1"/>
        <v>329368.2742305409</v>
      </c>
      <c r="G13" s="525">
        <f t="shared" si="1"/>
        <v>330037.1320566723</v>
      </c>
      <c r="H13" s="525">
        <f t="shared" si="1"/>
        <v>330483.14662591362</v>
      </c>
      <c r="I13" s="525">
        <f t="shared" si="1"/>
        <v>330927.57497637719</v>
      </c>
      <c r="J13" s="525">
        <f t="shared" si="1"/>
        <v>336142.10520771123</v>
      </c>
      <c r="K13" s="525">
        <f t="shared" si="1"/>
        <v>336943.0311954394</v>
      </c>
      <c r="L13" s="525">
        <f t="shared" si="1"/>
        <v>337624.3214319151</v>
      </c>
      <c r="M13" s="525">
        <f t="shared" si="1"/>
        <v>337962.41429183335</v>
      </c>
      <c r="N13" s="525">
        <f t="shared" si="1"/>
        <v>331950.94946430804</v>
      </c>
      <c r="O13" s="525">
        <f t="shared" si="1"/>
        <v>303836.31105557975</v>
      </c>
      <c r="P13" s="525">
        <f t="shared" si="1"/>
        <v>304332.90168002801</v>
      </c>
      <c r="Q13" s="525">
        <f t="shared" si="1"/>
        <v>304130.71523025929</v>
      </c>
      <c r="R13" s="525">
        <f t="shared" si="1"/>
        <v>212545.08171844721</v>
      </c>
      <c r="S13" s="525">
        <f t="shared" si="1"/>
        <v>198687.45974432255</v>
      </c>
      <c r="T13" s="525">
        <f t="shared" si="1"/>
        <v>195040.63060934015</v>
      </c>
      <c r="U13" s="525">
        <f t="shared" si="1"/>
        <v>195853.81957946706</v>
      </c>
      <c r="V13" s="525">
        <f t="shared" si="1"/>
        <v>197026.49682738318</v>
      </c>
      <c r="W13" s="525">
        <f t="shared" si="1"/>
        <v>198032.88317406827</v>
      </c>
      <c r="X13" s="525">
        <f t="shared" si="1"/>
        <v>201429.26883555201</v>
      </c>
      <c r="Y13" s="525">
        <f t="shared" si="1"/>
        <v>202435.65518223651</v>
      </c>
      <c r="Z13" s="525">
        <f t="shared" si="1"/>
        <v>203098.84415236351</v>
      </c>
      <c r="AA13" s="525">
        <f t="shared" si="1"/>
        <v>204105.23049904802</v>
      </c>
      <c r="AB13" s="525">
        <f t="shared" si="1"/>
        <v>204990.43330434273</v>
      </c>
      <c r="AC13" s="525">
        <f t="shared" si="1"/>
        <v>207550.39047383482</v>
      </c>
      <c r="AD13" s="525">
        <f t="shared" si="1"/>
        <v>221476.43424916363</v>
      </c>
      <c r="AE13" s="525">
        <f t="shared" si="1"/>
        <v>222403.08236311373</v>
      </c>
      <c r="AF13" s="525">
        <f t="shared" si="1"/>
        <v>214518.49742022072</v>
      </c>
      <c r="AG13" s="525">
        <f t="shared" si="1"/>
        <v>215558.5920579595</v>
      </c>
      <c r="AH13" s="525">
        <f>SUM(AH9:AH12)</f>
        <v>216598.6866956983</v>
      </c>
    </row>
    <row r="14" spans="1:34" s="28" customFormat="1" ht="12.75" x14ac:dyDescent="0.2">
      <c r="A14" s="523" t="s">
        <v>98</v>
      </c>
      <c r="B14" s="551"/>
      <c r="C14" s="551"/>
      <c r="D14" s="551"/>
      <c r="E14" s="551"/>
      <c r="F14" s="551"/>
      <c r="G14" s="551"/>
      <c r="H14" s="551"/>
      <c r="I14" s="551"/>
      <c r="J14" s="551"/>
      <c r="K14" s="551"/>
      <c r="L14" s="551"/>
      <c r="M14" s="551"/>
      <c r="N14" s="551"/>
      <c r="O14" s="551"/>
      <c r="P14" s="551"/>
      <c r="Q14" s="551"/>
      <c r="R14" s="551"/>
      <c r="S14" s="551"/>
      <c r="T14" s="551"/>
      <c r="U14" s="551"/>
      <c r="V14" s="551"/>
      <c r="W14" s="551"/>
      <c r="X14" s="551"/>
      <c r="Y14" s="551"/>
      <c r="Z14" s="551"/>
      <c r="AA14" s="551"/>
      <c r="AB14" s="551"/>
      <c r="AC14" s="551"/>
      <c r="AD14" s="551"/>
      <c r="AE14" s="551"/>
      <c r="AF14" s="551"/>
      <c r="AG14" s="551"/>
      <c r="AH14" s="551"/>
    </row>
    <row r="15" spans="1:34" s="28" customFormat="1" ht="12.75" x14ac:dyDescent="0.2">
      <c r="A15" s="30" t="s">
        <v>99</v>
      </c>
      <c r="B15" s="524">
        <f>-Aprēķini!B155</f>
        <v>-591813.80000000005</v>
      </c>
      <c r="C15" s="571">
        <f>-Aprēķini!C155</f>
        <v>-350320.47</v>
      </c>
      <c r="D15" s="571">
        <f>-Aprēķini!D155</f>
        <v>-523465</v>
      </c>
      <c r="E15" s="571">
        <f>-Aprēķini!E155</f>
        <v>0</v>
      </c>
      <c r="F15" s="524">
        <f>-Aprēķini!F155</f>
        <v>0</v>
      </c>
      <c r="G15" s="524">
        <f>-Aprēķini!G155</f>
        <v>0</v>
      </c>
      <c r="H15" s="524">
        <f>-Aprēķini!H155</f>
        <v>0</v>
      </c>
      <c r="I15" s="524">
        <f>-Aprēķini!I155</f>
        <v>0</v>
      </c>
      <c r="J15" s="524">
        <f>-Aprēķini!J155</f>
        <v>0</v>
      </c>
      <c r="K15" s="524">
        <f>-Aprēķini!K155</f>
        <v>0</v>
      </c>
      <c r="L15" s="524">
        <f>-Aprēķini!L155</f>
        <v>0</v>
      </c>
      <c r="M15" s="524">
        <f>-Aprēķini!M155</f>
        <v>0</v>
      </c>
      <c r="N15" s="524">
        <f>-Aprēķini!N155</f>
        <v>0</v>
      </c>
      <c r="O15" s="524">
        <f>-Aprēķini!O155</f>
        <v>0</v>
      </c>
      <c r="P15" s="524">
        <f>-Aprēķini!P155</f>
        <v>0</v>
      </c>
      <c r="Q15" s="524">
        <f>-Aprēķini!Q155</f>
        <v>0</v>
      </c>
      <c r="R15" s="524">
        <f>-Aprēķini!R155</f>
        <v>0</v>
      </c>
      <c r="S15" s="524">
        <f>-Aprēķini!S155</f>
        <v>0</v>
      </c>
      <c r="T15" s="524">
        <f>-Aprēķini!T155</f>
        <v>0</v>
      </c>
      <c r="U15" s="524">
        <f>-Aprēķini!U155</f>
        <v>0</v>
      </c>
      <c r="V15" s="524">
        <f>-Aprēķini!V155</f>
        <v>0</v>
      </c>
      <c r="W15" s="524">
        <f>-Aprēķini!W155</f>
        <v>0</v>
      </c>
      <c r="X15" s="524">
        <f>-Aprēķini!X155</f>
        <v>0</v>
      </c>
      <c r="Y15" s="524">
        <f>-Aprēķini!Y155</f>
        <v>0</v>
      </c>
      <c r="Z15" s="524">
        <f>-Aprēķini!Z155</f>
        <v>0</v>
      </c>
      <c r="AA15" s="524">
        <f>-Aprēķini!AA155</f>
        <v>0</v>
      </c>
      <c r="AB15" s="524">
        <f>-Aprēķini!AB155</f>
        <v>0</v>
      </c>
      <c r="AC15" s="524">
        <f>-Aprēķini!AC155</f>
        <v>0</v>
      </c>
      <c r="AD15" s="524">
        <f>-Aprēķini!AD155</f>
        <v>0</v>
      </c>
      <c r="AE15" s="524">
        <f>-Aprēķini!AE155</f>
        <v>0</v>
      </c>
      <c r="AF15" s="524">
        <f>-Aprēķini!AF155</f>
        <v>0</v>
      </c>
      <c r="AG15" s="524">
        <f>-Aprēķini!AG155</f>
        <v>0</v>
      </c>
      <c r="AH15" s="524">
        <f>-Aprēķini!AH155</f>
        <v>0</v>
      </c>
    </row>
    <row r="16" spans="1:34" s="28" customFormat="1" ht="12.75" x14ac:dyDescent="0.2">
      <c r="A16" s="523" t="s">
        <v>100</v>
      </c>
      <c r="B16" s="525">
        <f t="shared" ref="B16:AG16" si="2">SUM(B15:B15)</f>
        <v>-591813.80000000005</v>
      </c>
      <c r="C16" s="525">
        <f t="shared" si="2"/>
        <v>-350320.47</v>
      </c>
      <c r="D16" s="525">
        <f t="shared" si="2"/>
        <v>-523465</v>
      </c>
      <c r="E16" s="525">
        <f t="shared" si="2"/>
        <v>0</v>
      </c>
      <c r="F16" s="525">
        <f t="shared" si="2"/>
        <v>0</v>
      </c>
      <c r="G16" s="525">
        <f t="shared" si="2"/>
        <v>0</v>
      </c>
      <c r="H16" s="525">
        <f t="shared" si="2"/>
        <v>0</v>
      </c>
      <c r="I16" s="525">
        <f t="shared" si="2"/>
        <v>0</v>
      </c>
      <c r="J16" s="525">
        <f t="shared" si="2"/>
        <v>0</v>
      </c>
      <c r="K16" s="525">
        <f t="shared" si="2"/>
        <v>0</v>
      </c>
      <c r="L16" s="525">
        <f t="shared" si="2"/>
        <v>0</v>
      </c>
      <c r="M16" s="525">
        <f t="shared" si="2"/>
        <v>0</v>
      </c>
      <c r="N16" s="525">
        <f t="shared" si="2"/>
        <v>0</v>
      </c>
      <c r="O16" s="525">
        <f t="shared" si="2"/>
        <v>0</v>
      </c>
      <c r="P16" s="525">
        <f t="shared" si="2"/>
        <v>0</v>
      </c>
      <c r="Q16" s="525">
        <f t="shared" si="2"/>
        <v>0</v>
      </c>
      <c r="R16" s="525">
        <f t="shared" si="2"/>
        <v>0</v>
      </c>
      <c r="S16" s="525">
        <f t="shared" si="2"/>
        <v>0</v>
      </c>
      <c r="T16" s="525">
        <f t="shared" si="2"/>
        <v>0</v>
      </c>
      <c r="U16" s="525">
        <f t="shared" si="2"/>
        <v>0</v>
      </c>
      <c r="V16" s="525">
        <f t="shared" si="2"/>
        <v>0</v>
      </c>
      <c r="W16" s="525">
        <f t="shared" si="2"/>
        <v>0</v>
      </c>
      <c r="X16" s="525">
        <f t="shared" si="2"/>
        <v>0</v>
      </c>
      <c r="Y16" s="525">
        <f t="shared" si="2"/>
        <v>0</v>
      </c>
      <c r="Z16" s="525">
        <f t="shared" si="2"/>
        <v>0</v>
      </c>
      <c r="AA16" s="525">
        <f t="shared" si="2"/>
        <v>0</v>
      </c>
      <c r="AB16" s="525">
        <f t="shared" si="2"/>
        <v>0</v>
      </c>
      <c r="AC16" s="525">
        <f t="shared" si="2"/>
        <v>0</v>
      </c>
      <c r="AD16" s="525">
        <f t="shared" si="2"/>
        <v>0</v>
      </c>
      <c r="AE16" s="525">
        <f t="shared" si="2"/>
        <v>0</v>
      </c>
      <c r="AF16" s="525">
        <f t="shared" si="2"/>
        <v>0</v>
      </c>
      <c r="AG16" s="525">
        <f t="shared" si="2"/>
        <v>0</v>
      </c>
      <c r="AH16" s="525">
        <f>SUM(AH15:AH15)</f>
        <v>0</v>
      </c>
    </row>
    <row r="17" spans="1:34" s="28" customFormat="1" ht="12.75" x14ac:dyDescent="0.2">
      <c r="A17" s="523" t="s">
        <v>101</v>
      </c>
      <c r="B17" s="552"/>
      <c r="C17" s="552"/>
      <c r="D17" s="552"/>
      <c r="E17" s="552"/>
      <c r="F17" s="552"/>
      <c r="G17" s="552"/>
      <c r="H17" s="552"/>
      <c r="I17" s="552"/>
      <c r="J17" s="552"/>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row>
    <row r="18" spans="1:34" s="28" customFormat="1" ht="12.75" x14ac:dyDescent="0.2">
      <c r="A18" s="30" t="s">
        <v>532</v>
      </c>
      <c r="B18" s="524">
        <f t="shared" ref="B18:AH18" si="3">SUM(B19:B21)</f>
        <v>600539.14906969236</v>
      </c>
      <c r="C18" s="524">
        <f t="shared" si="3"/>
        <v>298873.2</v>
      </c>
      <c r="D18" s="524">
        <f t="shared" si="3"/>
        <v>566186.73</v>
      </c>
      <c r="E18" s="524">
        <f t="shared" si="3"/>
        <v>0</v>
      </c>
      <c r="F18" s="524">
        <f t="shared" si="3"/>
        <v>0</v>
      </c>
      <c r="G18" s="524">
        <f t="shared" si="3"/>
        <v>0</v>
      </c>
      <c r="H18" s="524">
        <f t="shared" si="3"/>
        <v>0</v>
      </c>
      <c r="I18" s="524">
        <f t="shared" si="3"/>
        <v>0</v>
      </c>
      <c r="J18" s="524">
        <f t="shared" si="3"/>
        <v>0</v>
      </c>
      <c r="K18" s="524">
        <f t="shared" si="3"/>
        <v>0</v>
      </c>
      <c r="L18" s="524">
        <f t="shared" si="3"/>
        <v>0</v>
      </c>
      <c r="M18" s="524">
        <f t="shared" si="3"/>
        <v>0</v>
      </c>
      <c r="N18" s="524">
        <f t="shared" si="3"/>
        <v>0</v>
      </c>
      <c r="O18" s="524">
        <f t="shared" si="3"/>
        <v>0</v>
      </c>
      <c r="P18" s="524">
        <f t="shared" si="3"/>
        <v>0</v>
      </c>
      <c r="Q18" s="524">
        <f t="shared" si="3"/>
        <v>0</v>
      </c>
      <c r="R18" s="524">
        <f t="shared" si="3"/>
        <v>0</v>
      </c>
      <c r="S18" s="524">
        <f t="shared" si="3"/>
        <v>0</v>
      </c>
      <c r="T18" s="524">
        <f t="shared" si="3"/>
        <v>0</v>
      </c>
      <c r="U18" s="524">
        <f t="shared" si="3"/>
        <v>0</v>
      </c>
      <c r="V18" s="524">
        <f t="shared" si="3"/>
        <v>0</v>
      </c>
      <c r="W18" s="524">
        <f t="shared" si="3"/>
        <v>0</v>
      </c>
      <c r="X18" s="524">
        <f t="shared" si="3"/>
        <v>0</v>
      </c>
      <c r="Y18" s="524">
        <f t="shared" si="3"/>
        <v>0</v>
      </c>
      <c r="Z18" s="524">
        <f t="shared" si="3"/>
        <v>0</v>
      </c>
      <c r="AA18" s="524">
        <f t="shared" si="3"/>
        <v>0</v>
      </c>
      <c r="AB18" s="524">
        <f t="shared" si="3"/>
        <v>0</v>
      </c>
      <c r="AC18" s="524">
        <f t="shared" si="3"/>
        <v>0</v>
      </c>
      <c r="AD18" s="524">
        <f t="shared" si="3"/>
        <v>0</v>
      </c>
      <c r="AE18" s="524">
        <f t="shared" si="3"/>
        <v>0</v>
      </c>
      <c r="AF18" s="524">
        <f t="shared" si="3"/>
        <v>0</v>
      </c>
      <c r="AG18" s="524">
        <f t="shared" si="3"/>
        <v>0</v>
      </c>
      <c r="AH18" s="524">
        <f t="shared" si="3"/>
        <v>0</v>
      </c>
    </row>
    <row r="19" spans="1:34" s="28" customFormat="1" ht="12.75" x14ac:dyDescent="0.2">
      <c r="A19" s="57" t="str">
        <f>Aprēķini!A161</f>
        <v>Valsts budžeta dotācija</v>
      </c>
      <c r="B19" s="524">
        <f>Aprēķini!B161</f>
        <v>0</v>
      </c>
      <c r="C19" s="524">
        <f>Aprēķini!C161</f>
        <v>0</v>
      </c>
      <c r="D19" s="524">
        <f>Aprēķini!D161</f>
        <v>0</v>
      </c>
      <c r="E19" s="524">
        <f>Aprēķini!E161</f>
        <v>0</v>
      </c>
      <c r="F19" s="524">
        <f>Aprēķini!F161</f>
        <v>0</v>
      </c>
      <c r="G19" s="524">
        <f>Aprēķini!G161</f>
        <v>0</v>
      </c>
      <c r="H19" s="524">
        <f>Aprēķini!H161</f>
        <v>0</v>
      </c>
      <c r="I19" s="524">
        <f>Aprēķini!I161</f>
        <v>0</v>
      </c>
      <c r="J19" s="524">
        <f>Aprēķini!J161</f>
        <v>0</v>
      </c>
      <c r="K19" s="524">
        <f>Aprēķini!K161</f>
        <v>0</v>
      </c>
      <c r="L19" s="524">
        <f>Aprēķini!L161</f>
        <v>0</v>
      </c>
      <c r="M19" s="524">
        <f>Aprēķini!M161</f>
        <v>0</v>
      </c>
      <c r="N19" s="524">
        <f>Aprēķini!N161</f>
        <v>0</v>
      </c>
      <c r="O19" s="524">
        <f>Aprēķini!O161</f>
        <v>0</v>
      </c>
      <c r="P19" s="524">
        <f>Aprēķini!P161</f>
        <v>0</v>
      </c>
      <c r="Q19" s="524">
        <f>Aprēķini!Q161</f>
        <v>0</v>
      </c>
      <c r="R19" s="524">
        <f>Aprēķini!R161</f>
        <v>0</v>
      </c>
      <c r="S19" s="524">
        <f>Aprēķini!S161</f>
        <v>0</v>
      </c>
      <c r="T19" s="524">
        <f>Aprēķini!T161</f>
        <v>0</v>
      </c>
      <c r="U19" s="524">
        <f>Aprēķini!U161</f>
        <v>0</v>
      </c>
      <c r="V19" s="524">
        <f>Aprēķini!V161</f>
        <v>0</v>
      </c>
      <c r="W19" s="524">
        <f>Aprēķini!W161</f>
        <v>0</v>
      </c>
      <c r="X19" s="524">
        <f>Aprēķini!X161</f>
        <v>0</v>
      </c>
      <c r="Y19" s="524">
        <f>Aprēķini!Y161</f>
        <v>0</v>
      </c>
      <c r="Z19" s="524">
        <f>Aprēķini!Z161</f>
        <v>0</v>
      </c>
      <c r="AA19" s="524">
        <f>Aprēķini!AA161</f>
        <v>0</v>
      </c>
      <c r="AB19" s="524">
        <f>Aprēķini!AB161</f>
        <v>0</v>
      </c>
      <c r="AC19" s="524">
        <f>Aprēķini!AC161</f>
        <v>0</v>
      </c>
      <c r="AD19" s="524">
        <f>Aprēķini!AD161</f>
        <v>0</v>
      </c>
      <c r="AE19" s="524">
        <f>Aprēķini!AE161</f>
        <v>0</v>
      </c>
      <c r="AF19" s="524">
        <f>Aprēķini!AF161</f>
        <v>0</v>
      </c>
      <c r="AG19" s="524">
        <f>Aprēķini!AG161</f>
        <v>0</v>
      </c>
      <c r="AH19" s="524">
        <f>Aprēķini!AH161</f>
        <v>0</v>
      </c>
    </row>
    <row r="20" spans="1:34" s="28" customFormat="1" ht="12.75" x14ac:dyDescent="0.2">
      <c r="A20" s="57" t="str">
        <f>Aprēķini!A164</f>
        <v>KF līdzfinansējums</v>
      </c>
      <c r="B20" s="524">
        <f>Aprēķini!B164</f>
        <v>352022.34906969237</v>
      </c>
      <c r="C20" s="524">
        <f>Aprēķini!C164</f>
        <v>207391</v>
      </c>
      <c r="D20" s="524">
        <f>Aprēķini!D164</f>
        <v>326770</v>
      </c>
      <c r="E20" s="524">
        <f>Aprēķini!E164</f>
        <v>0</v>
      </c>
      <c r="F20" s="524">
        <f>Aprēķini!F164</f>
        <v>0</v>
      </c>
      <c r="G20" s="524">
        <f>Aprēķini!G164</f>
        <v>0</v>
      </c>
      <c r="H20" s="524">
        <f>Aprēķini!H164</f>
        <v>0</v>
      </c>
      <c r="I20" s="524">
        <f>Aprēķini!I164</f>
        <v>0</v>
      </c>
      <c r="J20" s="524">
        <f>Aprēķini!J164</f>
        <v>0</v>
      </c>
      <c r="K20" s="524">
        <f>Aprēķini!K164</f>
        <v>0</v>
      </c>
      <c r="L20" s="524">
        <f>Aprēķini!L164</f>
        <v>0</v>
      </c>
      <c r="M20" s="524">
        <f>Aprēķini!M164</f>
        <v>0</v>
      </c>
      <c r="N20" s="524">
        <f>Aprēķini!N164</f>
        <v>0</v>
      </c>
      <c r="O20" s="524">
        <f>Aprēķini!O164</f>
        <v>0</v>
      </c>
      <c r="P20" s="524">
        <f>Aprēķini!P164</f>
        <v>0</v>
      </c>
      <c r="Q20" s="524">
        <f>Aprēķini!Q164</f>
        <v>0</v>
      </c>
      <c r="R20" s="524">
        <f>Aprēķini!R164</f>
        <v>0</v>
      </c>
      <c r="S20" s="524">
        <f>Aprēķini!S164</f>
        <v>0</v>
      </c>
      <c r="T20" s="524">
        <f>Aprēķini!T164</f>
        <v>0</v>
      </c>
      <c r="U20" s="524">
        <f>Aprēķini!U164</f>
        <v>0</v>
      </c>
      <c r="V20" s="524">
        <f>Aprēķini!V164</f>
        <v>0</v>
      </c>
      <c r="W20" s="524">
        <f>Aprēķini!W164</f>
        <v>0</v>
      </c>
      <c r="X20" s="524">
        <f>Aprēķini!X164</f>
        <v>0</v>
      </c>
      <c r="Y20" s="524">
        <f>Aprēķini!Y164</f>
        <v>0</v>
      </c>
      <c r="Z20" s="524">
        <f>Aprēķini!Z164</f>
        <v>0</v>
      </c>
      <c r="AA20" s="524">
        <f>Aprēķini!AA164</f>
        <v>0</v>
      </c>
      <c r="AB20" s="524">
        <f>Aprēķini!AB164</f>
        <v>0</v>
      </c>
      <c r="AC20" s="524">
        <f>Aprēķini!AC164</f>
        <v>0</v>
      </c>
      <c r="AD20" s="524">
        <f>Aprēķini!AD164</f>
        <v>0</v>
      </c>
      <c r="AE20" s="524">
        <f>Aprēķini!AE164</f>
        <v>0</v>
      </c>
      <c r="AF20" s="524">
        <f>Aprēķini!AF164</f>
        <v>0</v>
      </c>
      <c r="AG20" s="524">
        <f>Aprēķini!AG164</f>
        <v>0</v>
      </c>
      <c r="AH20" s="524">
        <f>Aprēķini!AH164</f>
        <v>0</v>
      </c>
    </row>
    <row r="21" spans="1:34" s="28" customFormat="1" ht="12.75" x14ac:dyDescent="0.2">
      <c r="A21" s="57" t="str">
        <f>Aprēķini!A160</f>
        <v>Aizņēmumi</v>
      </c>
      <c r="B21" s="524">
        <f>Aprēķini!B160</f>
        <v>248516.8</v>
      </c>
      <c r="C21" s="524">
        <f>Aprēķini!C160</f>
        <v>91482.2</v>
      </c>
      <c r="D21" s="524">
        <f>Aprēķini!D160</f>
        <v>239416.73</v>
      </c>
      <c r="E21" s="524">
        <f>Aprēķini!E160</f>
        <v>0</v>
      </c>
      <c r="F21" s="524">
        <f>Aprēķini!F160</f>
        <v>0</v>
      </c>
      <c r="G21" s="524">
        <f>Aprēķini!G160</f>
        <v>0</v>
      </c>
      <c r="H21" s="524">
        <f>Aprēķini!H160</f>
        <v>0</v>
      </c>
      <c r="I21" s="524">
        <f>Aprēķini!I160</f>
        <v>0</v>
      </c>
      <c r="J21" s="524">
        <f>Aprēķini!J160</f>
        <v>0</v>
      </c>
      <c r="K21" s="524">
        <f>Aprēķini!K160</f>
        <v>0</v>
      </c>
      <c r="L21" s="524">
        <f>Aprēķini!L160</f>
        <v>0</v>
      </c>
      <c r="M21" s="524">
        <f>Aprēķini!M160</f>
        <v>0</v>
      </c>
      <c r="N21" s="524">
        <f>Aprēķini!N160</f>
        <v>0</v>
      </c>
      <c r="O21" s="524">
        <f>Aprēķini!O160</f>
        <v>0</v>
      </c>
      <c r="P21" s="524">
        <f>Aprēķini!P160</f>
        <v>0</v>
      </c>
      <c r="Q21" s="524">
        <f>Aprēķini!Q160</f>
        <v>0</v>
      </c>
      <c r="R21" s="524">
        <f>Aprēķini!R160</f>
        <v>0</v>
      </c>
      <c r="S21" s="524">
        <f>Aprēķini!S160</f>
        <v>0</v>
      </c>
      <c r="T21" s="524">
        <f>Aprēķini!T160</f>
        <v>0</v>
      </c>
      <c r="U21" s="524">
        <f>Aprēķini!U160</f>
        <v>0</v>
      </c>
      <c r="V21" s="524">
        <f>Aprēķini!V160</f>
        <v>0</v>
      </c>
      <c r="W21" s="524">
        <f>Aprēķini!W160</f>
        <v>0</v>
      </c>
      <c r="X21" s="524">
        <f>Aprēķini!X160</f>
        <v>0</v>
      </c>
      <c r="Y21" s="524">
        <f>Aprēķini!Y160</f>
        <v>0</v>
      </c>
      <c r="Z21" s="524">
        <f>Aprēķini!Z160</f>
        <v>0</v>
      </c>
      <c r="AA21" s="524">
        <f>Aprēķini!AA160</f>
        <v>0</v>
      </c>
      <c r="AB21" s="524">
        <f>Aprēķini!AB160</f>
        <v>0</v>
      </c>
      <c r="AC21" s="524">
        <f>Aprēķini!AC160</f>
        <v>0</v>
      </c>
      <c r="AD21" s="524">
        <f>Aprēķini!AD160</f>
        <v>0</v>
      </c>
      <c r="AE21" s="524">
        <f>Aprēķini!AE160</f>
        <v>0</v>
      </c>
      <c r="AF21" s="524">
        <f>Aprēķini!AF160</f>
        <v>0</v>
      </c>
      <c r="AG21" s="524">
        <f>Aprēķini!AG160</f>
        <v>0</v>
      </c>
      <c r="AH21" s="524">
        <f>Aprēķini!AH160</f>
        <v>0</v>
      </c>
    </row>
    <row r="22" spans="1:34" s="28" customFormat="1" ht="12.75" x14ac:dyDescent="0.2">
      <c r="A22" s="549" t="s">
        <v>102</v>
      </c>
      <c r="B22" s="524">
        <f>-(Aprēķini!B258)</f>
        <v>0</v>
      </c>
      <c r="C22" s="524">
        <f>-(Aprēķini!C258)</f>
        <v>0</v>
      </c>
      <c r="D22" s="524">
        <f>-(Aprēķini!D258)</f>
        <v>0</v>
      </c>
      <c r="E22" s="524">
        <f>-(Aprēķini!E258)</f>
        <v>-7980.5576666666666</v>
      </c>
      <c r="F22" s="524">
        <f>-(Aprēķini!F258)</f>
        <v>-7980.5576666666666</v>
      </c>
      <c r="G22" s="524">
        <f>-(Aprēķini!G258)</f>
        <v>-7980.5576666666666</v>
      </c>
      <c r="H22" s="524">
        <f>-(Aprēķini!H258)</f>
        <v>-7980.5576666666666</v>
      </c>
      <c r="I22" s="524">
        <f>-(Aprēķini!I258)</f>
        <v>-7980.5576666666666</v>
      </c>
      <c r="J22" s="524">
        <f>-(Aprēķini!J258)</f>
        <v>-7980.5576666666666</v>
      </c>
      <c r="K22" s="524">
        <f>-(Aprēķini!K258)</f>
        <v>-7980.5576666666666</v>
      </c>
      <c r="L22" s="524">
        <f>-(Aprēķini!L258)</f>
        <v>-7980.5576666666666</v>
      </c>
      <c r="M22" s="524">
        <f>-(Aprēķini!M258)</f>
        <v>-7980.5576666666666</v>
      </c>
      <c r="N22" s="524">
        <f>-(Aprēķini!N258)</f>
        <v>-7980.5576666666666</v>
      </c>
      <c r="O22" s="524">
        <f>-(Aprēķini!O258)</f>
        <v>-7980.5576666666666</v>
      </c>
      <c r="P22" s="524">
        <f>-(Aprēķini!P258)</f>
        <v>-7980.5576666666666</v>
      </c>
      <c r="Q22" s="524">
        <f>-(Aprēķini!Q258)</f>
        <v>-7980.5576666666666</v>
      </c>
      <c r="R22" s="524">
        <f>-(Aprēķini!R258)</f>
        <v>-7980.5576666666666</v>
      </c>
      <c r="S22" s="524">
        <f>-(Aprēķini!S258)</f>
        <v>-7980.5576666666666</v>
      </c>
      <c r="T22" s="524">
        <f>-(Aprēķini!T258)</f>
        <v>-7980.5576666666666</v>
      </c>
      <c r="U22" s="524">
        <f>-(Aprēķini!U258)</f>
        <v>-7980.5576666666666</v>
      </c>
      <c r="V22" s="524">
        <f>-(Aprēķini!V258)</f>
        <v>-7980.5576666666666</v>
      </c>
      <c r="W22" s="524">
        <f>-(Aprēķini!W258)</f>
        <v>-7980.5576666666666</v>
      </c>
      <c r="X22" s="524">
        <f>-(Aprēķini!X258)</f>
        <v>-7980.5576666666666</v>
      </c>
      <c r="Y22" s="524">
        <f>-(Aprēķini!Y258)</f>
        <v>-7980.5576666666666</v>
      </c>
      <c r="Z22" s="524">
        <f>-(Aprēķini!Z258)</f>
        <v>-7980.5576666666666</v>
      </c>
      <c r="AA22" s="524">
        <f>-(Aprēķini!AA258)</f>
        <v>-7980.5576666666666</v>
      </c>
      <c r="AB22" s="524">
        <f>-(Aprēķini!AB258)</f>
        <v>-7980.5576666666666</v>
      </c>
      <c r="AC22" s="524">
        <f>-(Aprēķini!AC258)</f>
        <v>-7980.5576666666666</v>
      </c>
      <c r="AD22" s="524">
        <f>-(Aprēķini!AD258)</f>
        <v>-7980.5576666666666</v>
      </c>
      <c r="AE22" s="524">
        <f>-(Aprēķini!AE258)</f>
        <v>-7980.5576666666666</v>
      </c>
      <c r="AF22" s="524">
        <f>-(Aprēķini!AF258)</f>
        <v>-7980.5576666666666</v>
      </c>
      <c r="AG22" s="524">
        <f>-(Aprēķini!AG258)</f>
        <v>-7980.5576666666666</v>
      </c>
      <c r="AH22" s="524">
        <f>-(Aprēķini!AH258)</f>
        <v>-7980.5576666666666</v>
      </c>
    </row>
    <row r="23" spans="1:34" s="28" customFormat="1" ht="12.75" x14ac:dyDescent="0.2">
      <c r="A23" s="549" t="s">
        <v>103</v>
      </c>
      <c r="B23" s="525">
        <f t="shared" ref="B23:AH23" si="4">B18+B22</f>
        <v>600539.14906969236</v>
      </c>
      <c r="C23" s="525">
        <f t="shared" si="4"/>
        <v>298873.2</v>
      </c>
      <c r="D23" s="525">
        <f t="shared" si="4"/>
        <v>566186.73</v>
      </c>
      <c r="E23" s="525">
        <f t="shared" si="4"/>
        <v>-7980.5576666666666</v>
      </c>
      <c r="F23" s="525">
        <f t="shared" si="4"/>
        <v>-7980.5576666666666</v>
      </c>
      <c r="G23" s="525">
        <f t="shared" si="4"/>
        <v>-7980.5576666666666</v>
      </c>
      <c r="H23" s="525">
        <f t="shared" si="4"/>
        <v>-7980.5576666666666</v>
      </c>
      <c r="I23" s="525">
        <f t="shared" si="4"/>
        <v>-7980.5576666666666</v>
      </c>
      <c r="J23" s="525">
        <f t="shared" si="4"/>
        <v>-7980.5576666666666</v>
      </c>
      <c r="K23" s="525">
        <f t="shared" si="4"/>
        <v>-7980.5576666666666</v>
      </c>
      <c r="L23" s="525">
        <f t="shared" si="4"/>
        <v>-7980.5576666666666</v>
      </c>
      <c r="M23" s="525">
        <f t="shared" si="4"/>
        <v>-7980.5576666666666</v>
      </c>
      <c r="N23" s="525">
        <f t="shared" si="4"/>
        <v>-7980.5576666666666</v>
      </c>
      <c r="O23" s="525">
        <f t="shared" si="4"/>
        <v>-7980.5576666666666</v>
      </c>
      <c r="P23" s="525">
        <f t="shared" si="4"/>
        <v>-7980.5576666666666</v>
      </c>
      <c r="Q23" s="525">
        <f t="shared" si="4"/>
        <v>-7980.5576666666666</v>
      </c>
      <c r="R23" s="525">
        <f t="shared" si="4"/>
        <v>-7980.5576666666666</v>
      </c>
      <c r="S23" s="525">
        <f t="shared" si="4"/>
        <v>-7980.5576666666666</v>
      </c>
      <c r="T23" s="525">
        <f t="shared" si="4"/>
        <v>-7980.5576666666666</v>
      </c>
      <c r="U23" s="525">
        <f t="shared" si="4"/>
        <v>-7980.5576666666666</v>
      </c>
      <c r="V23" s="525">
        <f t="shared" si="4"/>
        <v>-7980.5576666666666</v>
      </c>
      <c r="W23" s="525">
        <f t="shared" si="4"/>
        <v>-7980.5576666666666</v>
      </c>
      <c r="X23" s="525">
        <f t="shared" si="4"/>
        <v>-7980.5576666666666</v>
      </c>
      <c r="Y23" s="525">
        <f t="shared" si="4"/>
        <v>-7980.5576666666666</v>
      </c>
      <c r="Z23" s="525">
        <f t="shared" si="4"/>
        <v>-7980.5576666666666</v>
      </c>
      <c r="AA23" s="525">
        <f t="shared" si="4"/>
        <v>-7980.5576666666666</v>
      </c>
      <c r="AB23" s="525">
        <f t="shared" si="4"/>
        <v>-7980.5576666666666</v>
      </c>
      <c r="AC23" s="525">
        <f t="shared" si="4"/>
        <v>-7980.5576666666666</v>
      </c>
      <c r="AD23" s="525">
        <f t="shared" si="4"/>
        <v>-7980.5576666666666</v>
      </c>
      <c r="AE23" s="525">
        <f t="shared" si="4"/>
        <v>-7980.5576666666666</v>
      </c>
      <c r="AF23" s="525">
        <f t="shared" si="4"/>
        <v>-7980.5576666666666</v>
      </c>
      <c r="AG23" s="525">
        <f t="shared" si="4"/>
        <v>-7980.5576666666666</v>
      </c>
      <c r="AH23" s="525">
        <f t="shared" si="4"/>
        <v>-7980.5576666666666</v>
      </c>
    </row>
    <row r="24" spans="1:34" s="28" customFormat="1" ht="12.75" x14ac:dyDescent="0.2">
      <c r="A24" s="549" t="s">
        <v>104</v>
      </c>
      <c r="B24" s="525">
        <v>0</v>
      </c>
      <c r="C24" s="525">
        <f>'Datu ievade'!B229</f>
        <v>0</v>
      </c>
      <c r="D24" s="525">
        <f>'Datu ievade'!C229</f>
        <v>0</v>
      </c>
      <c r="E24" s="525">
        <f>'Datu ievade'!D229</f>
        <v>0</v>
      </c>
      <c r="F24" s="525">
        <f>'Datu ievade'!E229</f>
        <v>0</v>
      </c>
      <c r="G24" s="525">
        <f>'Datu ievade'!F229</f>
        <v>0</v>
      </c>
      <c r="H24" s="525">
        <f>'Datu ievade'!G229</f>
        <v>0</v>
      </c>
      <c r="I24" s="525">
        <f>'Datu ievade'!H229</f>
        <v>0</v>
      </c>
      <c r="J24" s="525">
        <f>'Datu ievade'!I229</f>
        <v>0</v>
      </c>
      <c r="K24" s="525">
        <f>'Datu ievade'!J229</f>
        <v>0</v>
      </c>
      <c r="L24" s="525">
        <f>'Datu ievade'!K229</f>
        <v>0</v>
      </c>
      <c r="M24" s="525">
        <f>'Datu ievade'!L229</f>
        <v>0</v>
      </c>
      <c r="N24" s="525">
        <f>'Datu ievade'!M229</f>
        <v>0</v>
      </c>
      <c r="O24" s="525">
        <f>'Datu ievade'!N229</f>
        <v>0</v>
      </c>
      <c r="P24" s="525">
        <f>'Datu ievade'!O229</f>
        <v>0</v>
      </c>
      <c r="Q24" s="525">
        <f>'Datu ievade'!P229</f>
        <v>0</v>
      </c>
      <c r="R24" s="525">
        <f>'Datu ievade'!Q229</f>
        <v>0</v>
      </c>
      <c r="S24" s="525">
        <f>'Datu ievade'!R229</f>
        <v>0</v>
      </c>
      <c r="T24" s="525">
        <f>'Datu ievade'!S229</f>
        <v>0</v>
      </c>
      <c r="U24" s="525">
        <f>'Datu ievade'!T229</f>
        <v>0</v>
      </c>
      <c r="V24" s="525">
        <f>'Datu ievade'!U229</f>
        <v>0</v>
      </c>
      <c r="W24" s="525">
        <f>'Datu ievade'!V229</f>
        <v>0</v>
      </c>
      <c r="X24" s="525">
        <f>'Datu ievade'!W229</f>
        <v>0</v>
      </c>
      <c r="Y24" s="525">
        <f>'Datu ievade'!X229</f>
        <v>0</v>
      </c>
      <c r="Z24" s="525">
        <f>'Datu ievade'!Y229</f>
        <v>0</v>
      </c>
      <c r="AA24" s="525">
        <f>'Datu ievade'!Z229</f>
        <v>0</v>
      </c>
      <c r="AB24" s="525">
        <f>'Datu ievade'!AA229</f>
        <v>0</v>
      </c>
      <c r="AC24" s="525">
        <f>'Datu ievade'!AB229</f>
        <v>0</v>
      </c>
      <c r="AD24" s="525">
        <f>'Datu ievade'!AC229</f>
        <v>0</v>
      </c>
      <c r="AE24" s="525">
        <f>'Datu ievade'!AD229</f>
        <v>0</v>
      </c>
      <c r="AF24" s="525">
        <f>'Datu ievade'!AE229</f>
        <v>0</v>
      </c>
      <c r="AG24" s="525">
        <f>'Datu ievade'!AF229</f>
        <v>0</v>
      </c>
      <c r="AH24" s="525">
        <f>'Datu ievade'!AG229</f>
        <v>0</v>
      </c>
    </row>
    <row r="25" spans="1:34" s="28" customFormat="1" ht="12.75" x14ac:dyDescent="0.2">
      <c r="A25" s="546" t="s">
        <v>105</v>
      </c>
      <c r="B25" s="553">
        <f t="shared" ref="B25:AH25" si="5">SUM(B13,B16,B23,B24)</f>
        <v>192639.78094969224</v>
      </c>
      <c r="C25" s="553">
        <f t="shared" si="5"/>
        <v>171996.65797307045</v>
      </c>
      <c r="D25" s="553">
        <f t="shared" si="5"/>
        <v>334853.85627282906</v>
      </c>
      <c r="E25" s="553">
        <f t="shared" si="5"/>
        <v>320708.43633764063</v>
      </c>
      <c r="F25" s="553">
        <f t="shared" si="5"/>
        <v>321387.71656387422</v>
      </c>
      <c r="G25" s="553">
        <f t="shared" si="5"/>
        <v>322056.57439000561</v>
      </c>
      <c r="H25" s="553">
        <f t="shared" si="5"/>
        <v>322502.58895924693</v>
      </c>
      <c r="I25" s="553">
        <f t="shared" si="5"/>
        <v>322947.0173097105</v>
      </c>
      <c r="J25" s="553">
        <f t="shared" si="5"/>
        <v>328161.54754104454</v>
      </c>
      <c r="K25" s="553">
        <f t="shared" si="5"/>
        <v>328962.47352877271</v>
      </c>
      <c r="L25" s="553">
        <f t="shared" si="5"/>
        <v>329643.76376524841</v>
      </c>
      <c r="M25" s="553">
        <f t="shared" si="5"/>
        <v>329981.85662516666</v>
      </c>
      <c r="N25" s="553">
        <f t="shared" si="5"/>
        <v>323970.39179764135</v>
      </c>
      <c r="O25" s="553">
        <f t="shared" si="5"/>
        <v>295855.75338891306</v>
      </c>
      <c r="P25" s="553">
        <f t="shared" si="5"/>
        <v>296352.34401336132</v>
      </c>
      <c r="Q25" s="553">
        <f t="shared" si="5"/>
        <v>296150.1575635926</v>
      </c>
      <c r="R25" s="553">
        <f t="shared" si="5"/>
        <v>204564.52405178055</v>
      </c>
      <c r="S25" s="553">
        <f t="shared" si="5"/>
        <v>190706.90207765589</v>
      </c>
      <c r="T25" s="553">
        <f t="shared" si="5"/>
        <v>187060.07294267349</v>
      </c>
      <c r="U25" s="553">
        <f t="shared" si="5"/>
        <v>187873.2619128004</v>
      </c>
      <c r="V25" s="553">
        <f t="shared" si="5"/>
        <v>189045.93916071652</v>
      </c>
      <c r="W25" s="553">
        <f t="shared" si="5"/>
        <v>190052.32550740161</v>
      </c>
      <c r="X25" s="553">
        <f t="shared" si="5"/>
        <v>193448.71116888535</v>
      </c>
      <c r="Y25" s="553">
        <f t="shared" si="5"/>
        <v>194455.09751556985</v>
      </c>
      <c r="Z25" s="553">
        <f t="shared" si="5"/>
        <v>195118.28648569685</v>
      </c>
      <c r="AA25" s="553">
        <f t="shared" si="5"/>
        <v>196124.67283238136</v>
      </c>
      <c r="AB25" s="553">
        <f t="shared" si="5"/>
        <v>197009.87563767607</v>
      </c>
      <c r="AC25" s="553">
        <f t="shared" si="5"/>
        <v>199569.83280716816</v>
      </c>
      <c r="AD25" s="553">
        <f t="shared" si="5"/>
        <v>213495.87658249697</v>
      </c>
      <c r="AE25" s="553">
        <f t="shared" si="5"/>
        <v>214422.52469644707</v>
      </c>
      <c r="AF25" s="553">
        <f t="shared" si="5"/>
        <v>206537.93975355406</v>
      </c>
      <c r="AG25" s="553">
        <f t="shared" si="5"/>
        <v>207578.03439129284</v>
      </c>
      <c r="AH25" s="553">
        <f t="shared" si="5"/>
        <v>208618.12902903164</v>
      </c>
    </row>
    <row r="26" spans="1:34" s="28" customFormat="1" ht="12.75" x14ac:dyDescent="0.2">
      <c r="A26" s="546" t="s">
        <v>106</v>
      </c>
      <c r="B26" s="553">
        <f>B25+'Datu ievade'!B244</f>
        <v>343075.78094969224</v>
      </c>
      <c r="C26" s="553">
        <f>C25+B26</f>
        <v>515072.4389227627</v>
      </c>
      <c r="D26" s="553">
        <f t="shared" ref="D26:AH26" si="6">D25+C26</f>
        <v>849926.29519559175</v>
      </c>
      <c r="E26" s="553">
        <f t="shared" si="6"/>
        <v>1170634.7315332324</v>
      </c>
      <c r="F26" s="553">
        <f t="shared" si="6"/>
        <v>1492022.4480971065</v>
      </c>
      <c r="G26" s="553">
        <f t="shared" si="6"/>
        <v>1814079.0224871121</v>
      </c>
      <c r="H26" s="553">
        <f t="shared" si="6"/>
        <v>2136581.6114463592</v>
      </c>
      <c r="I26" s="553">
        <f t="shared" si="6"/>
        <v>2459528.6287560696</v>
      </c>
      <c r="J26" s="553">
        <f t="shared" si="6"/>
        <v>2787690.1762971142</v>
      </c>
      <c r="K26" s="553">
        <f t="shared" si="6"/>
        <v>3116652.6498258868</v>
      </c>
      <c r="L26" s="553">
        <f t="shared" si="6"/>
        <v>3446296.4135911353</v>
      </c>
      <c r="M26" s="553">
        <f t="shared" si="6"/>
        <v>3776278.270216302</v>
      </c>
      <c r="N26" s="553">
        <f t="shared" si="6"/>
        <v>4100248.6620139433</v>
      </c>
      <c r="O26" s="553">
        <f t="shared" si="6"/>
        <v>4396104.4154028567</v>
      </c>
      <c r="P26" s="553">
        <f t="shared" si="6"/>
        <v>4692456.7594162179</v>
      </c>
      <c r="Q26" s="553">
        <f t="shared" si="6"/>
        <v>4988606.9169798102</v>
      </c>
      <c r="R26" s="553">
        <f t="shared" si="6"/>
        <v>5193171.441031591</v>
      </c>
      <c r="S26" s="553">
        <f t="shared" si="6"/>
        <v>5383878.3431092473</v>
      </c>
      <c r="T26" s="553">
        <f t="shared" si="6"/>
        <v>5570938.4160519205</v>
      </c>
      <c r="U26" s="553">
        <f t="shared" si="6"/>
        <v>5758811.6779647209</v>
      </c>
      <c r="V26" s="553">
        <f t="shared" si="6"/>
        <v>5947857.6171254376</v>
      </c>
      <c r="W26" s="553">
        <f t="shared" si="6"/>
        <v>6137909.9426328391</v>
      </c>
      <c r="X26" s="553">
        <f t="shared" si="6"/>
        <v>6331358.6538017243</v>
      </c>
      <c r="Y26" s="553">
        <f t="shared" si="6"/>
        <v>6525813.7513172943</v>
      </c>
      <c r="Z26" s="553">
        <f t="shared" si="6"/>
        <v>6720932.0378029915</v>
      </c>
      <c r="AA26" s="553">
        <f t="shared" si="6"/>
        <v>6917056.7106353724</v>
      </c>
      <c r="AB26" s="553">
        <f t="shared" si="6"/>
        <v>7114066.5862730481</v>
      </c>
      <c r="AC26" s="553">
        <f t="shared" si="6"/>
        <v>7313636.4190802164</v>
      </c>
      <c r="AD26" s="553">
        <f t="shared" si="6"/>
        <v>7527132.2956627132</v>
      </c>
      <c r="AE26" s="553">
        <f t="shared" si="6"/>
        <v>7741554.8203591602</v>
      </c>
      <c r="AF26" s="553">
        <f t="shared" si="6"/>
        <v>7948092.760112714</v>
      </c>
      <c r="AG26" s="553">
        <f t="shared" si="6"/>
        <v>8155670.7945040073</v>
      </c>
      <c r="AH26" s="553">
        <f t="shared" si="6"/>
        <v>8364288.9235330392</v>
      </c>
    </row>
    <row r="28" spans="1:34" ht="15" x14ac:dyDescent="0.2">
      <c r="A28" s="428" t="s">
        <v>111</v>
      </c>
      <c r="D28" s="503"/>
      <c r="E28" s="503"/>
      <c r="F28" s="503"/>
      <c r="G28" s="503"/>
      <c r="H28" s="503"/>
      <c r="I28" s="503"/>
      <c r="J28" s="503"/>
      <c r="K28" s="503"/>
      <c r="L28" s="503"/>
      <c r="M28" s="503"/>
      <c r="N28" s="503"/>
      <c r="O28" s="503"/>
      <c r="P28" s="503"/>
      <c r="Q28" s="503"/>
      <c r="R28" s="503"/>
      <c r="S28" s="503"/>
      <c r="T28" s="503"/>
      <c r="U28" s="503"/>
      <c r="V28" s="503"/>
      <c r="W28" s="503"/>
      <c r="X28" s="503"/>
      <c r="Y28" s="503"/>
      <c r="Z28" s="503"/>
      <c r="AA28" s="503"/>
      <c r="AB28" s="503"/>
      <c r="AC28" s="503"/>
      <c r="AD28" s="503"/>
      <c r="AE28" s="503"/>
      <c r="AF28" s="503"/>
      <c r="AG28" s="503"/>
      <c r="AH28" s="503"/>
    </row>
    <row r="29" spans="1:34" s="28" customFormat="1" ht="12.75" x14ac:dyDescent="0.2">
      <c r="A29" s="30"/>
      <c r="B29" s="522">
        <f>B7</f>
        <v>2017</v>
      </c>
      <c r="C29" s="522">
        <f t="shared" ref="C29:AH29" si="7">B29+1</f>
        <v>2018</v>
      </c>
      <c r="D29" s="522">
        <f t="shared" si="7"/>
        <v>2019</v>
      </c>
      <c r="E29" s="522">
        <f t="shared" si="7"/>
        <v>2020</v>
      </c>
      <c r="F29" s="522">
        <f t="shared" si="7"/>
        <v>2021</v>
      </c>
      <c r="G29" s="522">
        <f t="shared" si="7"/>
        <v>2022</v>
      </c>
      <c r="H29" s="522">
        <f t="shared" si="7"/>
        <v>2023</v>
      </c>
      <c r="I29" s="522">
        <f t="shared" si="7"/>
        <v>2024</v>
      </c>
      <c r="J29" s="522">
        <f t="shared" si="7"/>
        <v>2025</v>
      </c>
      <c r="K29" s="522">
        <f t="shared" si="7"/>
        <v>2026</v>
      </c>
      <c r="L29" s="522">
        <f t="shared" si="7"/>
        <v>2027</v>
      </c>
      <c r="M29" s="522">
        <f t="shared" si="7"/>
        <v>2028</v>
      </c>
      <c r="N29" s="522">
        <f t="shared" si="7"/>
        <v>2029</v>
      </c>
      <c r="O29" s="522">
        <f t="shared" si="7"/>
        <v>2030</v>
      </c>
      <c r="P29" s="522">
        <f t="shared" si="7"/>
        <v>2031</v>
      </c>
      <c r="Q29" s="522">
        <f t="shared" si="7"/>
        <v>2032</v>
      </c>
      <c r="R29" s="522">
        <f t="shared" si="7"/>
        <v>2033</v>
      </c>
      <c r="S29" s="522">
        <f t="shared" si="7"/>
        <v>2034</v>
      </c>
      <c r="T29" s="522">
        <f t="shared" si="7"/>
        <v>2035</v>
      </c>
      <c r="U29" s="522">
        <f t="shared" si="7"/>
        <v>2036</v>
      </c>
      <c r="V29" s="522">
        <f t="shared" si="7"/>
        <v>2037</v>
      </c>
      <c r="W29" s="522">
        <f t="shared" si="7"/>
        <v>2038</v>
      </c>
      <c r="X29" s="522">
        <f t="shared" si="7"/>
        <v>2039</v>
      </c>
      <c r="Y29" s="522">
        <f t="shared" si="7"/>
        <v>2040</v>
      </c>
      <c r="Z29" s="522">
        <f t="shared" si="7"/>
        <v>2041</v>
      </c>
      <c r="AA29" s="522">
        <f t="shared" si="7"/>
        <v>2042</v>
      </c>
      <c r="AB29" s="522">
        <f t="shared" si="7"/>
        <v>2043</v>
      </c>
      <c r="AC29" s="522">
        <f t="shared" si="7"/>
        <v>2044</v>
      </c>
      <c r="AD29" s="522">
        <f t="shared" si="7"/>
        <v>2045</v>
      </c>
      <c r="AE29" s="522">
        <f t="shared" si="7"/>
        <v>2046</v>
      </c>
      <c r="AF29" s="522">
        <f t="shared" si="7"/>
        <v>2047</v>
      </c>
      <c r="AG29" s="522">
        <f t="shared" si="7"/>
        <v>2048</v>
      </c>
      <c r="AH29" s="522">
        <f t="shared" si="7"/>
        <v>2049</v>
      </c>
    </row>
    <row r="30" spans="1:34" ht="12.75" x14ac:dyDescent="0.2">
      <c r="A30" s="523" t="s">
        <v>55</v>
      </c>
      <c r="B30" s="554"/>
      <c r="C30" s="554"/>
      <c r="D30" s="554"/>
      <c r="E30" s="554"/>
      <c r="F30" s="554"/>
      <c r="G30" s="554"/>
      <c r="H30" s="554"/>
      <c r="I30" s="555"/>
      <c r="J30" s="554"/>
      <c r="K30" s="554"/>
      <c r="L30" s="554"/>
      <c r="M30" s="554"/>
      <c r="N30" s="554"/>
      <c r="O30" s="554"/>
      <c r="P30" s="554"/>
      <c r="Q30" s="554"/>
      <c r="R30" s="554"/>
      <c r="S30" s="554"/>
      <c r="T30" s="554"/>
      <c r="U30" s="554"/>
      <c r="V30" s="554"/>
      <c r="W30" s="554"/>
      <c r="X30" s="554"/>
      <c r="Y30" s="554"/>
      <c r="Z30" s="554"/>
      <c r="AA30" s="554"/>
      <c r="AB30" s="554"/>
      <c r="AC30" s="554"/>
      <c r="AD30" s="554"/>
      <c r="AE30" s="554"/>
      <c r="AF30" s="554"/>
      <c r="AG30" s="554"/>
      <c r="AH30" s="554"/>
    </row>
    <row r="31" spans="1:34" ht="12.75" x14ac:dyDescent="0.2">
      <c r="A31" s="30" t="s">
        <v>600</v>
      </c>
      <c r="B31" s="524">
        <f>'Saimnieciskas pamatdarbibas NP'!B192-'Naudas plūsma'!B33-Aprēķini!B257</f>
        <v>-1242.5840000000001</v>
      </c>
      <c r="C31" s="524">
        <f>'Saimnieciskas pamatdarbibas NP'!C192-'Naudas plūsma'!C33-Aprēķini!C257</f>
        <v>-1642.7779573968703</v>
      </c>
      <c r="D31" s="524">
        <f>'Saimnieciskas pamatdarbibas NP'!D192-'Naudas plūsma'!D33-Aprēķini!D257</f>
        <v>-26237.137866348981</v>
      </c>
      <c r="E31" s="524">
        <f>'Saimnieciskas pamatdarbibas NP'!E192-'Naudas plūsma'!E33-Aprēķini!E257</f>
        <v>-20481.956505998529</v>
      </c>
      <c r="F31" s="524">
        <f>'Saimnieciskas pamatdarbibas NP'!F192-'Naudas plūsma'!F33-Aprēķini!F257</f>
        <v>-20602.679431730896</v>
      </c>
      <c r="G31" s="524">
        <f>'Saimnieciskas pamatdarbibas NP'!G192-'Naudas plūsma'!G33-Aprēķini!G257</f>
        <v>-20144.456799846641</v>
      </c>
      <c r="H31" s="524">
        <f>'Saimnieciskas pamatdarbibas NP'!H192-'Naudas plūsma'!H33-Aprēķini!H257</f>
        <v>-20180.669281895</v>
      </c>
      <c r="I31" s="524">
        <f>'Saimnieciskas pamatdarbibas NP'!I192-'Naudas plūsma'!I33-Aprēķini!I257</f>
        <v>-20545.13859135392</v>
      </c>
      <c r="J31" s="524">
        <f>'Saimnieciskas pamatdarbibas NP'!J192-'Naudas plūsma'!J33-Aprēķini!J257</f>
        <v>-16396.244343725644</v>
      </c>
      <c r="K31" s="524">
        <f>'Saimnieciskas pamatdarbibas NP'!K192-'Naudas plūsma'!K33-Aprēķini!K257</f>
        <v>-16064.297548639392</v>
      </c>
      <c r="L31" s="524">
        <f>'Saimnieciskas pamatdarbibas NP'!L192-'Naudas plūsma'!L33-Aprēķini!L257</f>
        <v>-16209.707736554796</v>
      </c>
      <c r="M31" s="524">
        <f>'Saimnieciskas pamatdarbibas NP'!M192-'Naudas plūsma'!M33-Aprēķini!M257</f>
        <v>-16008.265552470803</v>
      </c>
      <c r="N31" s="524">
        <f>'Saimnieciskas pamatdarbibas NP'!N192-'Naudas plūsma'!N33-Aprēķini!N257</f>
        <v>-16155.247100932502</v>
      </c>
      <c r="O31" s="524">
        <f>'Saimnieciskas pamatdarbibas NP'!O192-'Naudas plūsma'!O33-Aprēķini!O257</f>
        <v>-11653.407068463615</v>
      </c>
      <c r="P31" s="524">
        <f>'Saimnieciskas pamatdarbibas NP'!P192-'Naudas plūsma'!P33-Aprēķini!P257</f>
        <v>-11695.716828000141</v>
      </c>
      <c r="Q31" s="524">
        <f>'Saimnieciskas pamatdarbibas NP'!Q192-'Naudas plūsma'!Q33-Aprēķini!Q257</f>
        <v>-8963.2076115396012</v>
      </c>
      <c r="R31" s="524">
        <f>'Saimnieciskas pamatdarbibas NP'!R192-'Naudas plūsma'!R33-Aprēķini!R257</f>
        <v>-10560.420260328032</v>
      </c>
      <c r="S31" s="524">
        <f>'Saimnieciskas pamatdarbibas NP'!S192-'Naudas plūsma'!S33-Aprēķini!S257</f>
        <v>-6198.4976013164123</v>
      </c>
      <c r="T31" s="524">
        <f>'Saimnieciskas pamatdarbibas NP'!T192-'Naudas plūsma'!T33-Aprēķini!T257</f>
        <v>-10894.020627945651</v>
      </c>
      <c r="U31" s="524">
        <f>'Saimnieciskas pamatdarbibas NP'!U192-'Naudas plūsma'!U33-Aprēķini!U257</f>
        <v>-10713.182759481666</v>
      </c>
      <c r="V31" s="524">
        <f>'Saimnieciskas pamatdarbibas NP'!V192-'Naudas plūsma'!V33-Aprēķini!V257</f>
        <v>-11009.949447009179</v>
      </c>
      <c r="W31" s="524">
        <f>'Saimnieciskas pamatdarbibas NP'!W192-'Naudas plūsma'!W33-Aprēķini!W257</f>
        <v>-11025.963950544883</v>
      </c>
      <c r="X31" s="524">
        <f>'Saimnieciskas pamatdarbibas NP'!X192-'Naudas plūsma'!X33-Aprēķini!X257</f>
        <v>-8268.7308386299701</v>
      </c>
      <c r="Y31" s="524">
        <f>'Saimnieciskas pamatdarbibas NP'!Y192-'Naudas plūsma'!Y33-Aprēķini!Y257</f>
        <v>-8284.7453421653227</v>
      </c>
      <c r="Z31" s="524">
        <f>'Saimnieciskas pamatdarbibas NP'!Z192-'Naudas plūsma'!Z33-Aprēķini!Z257</f>
        <v>-8649.1835782467715</v>
      </c>
      <c r="AA31" s="524">
        <f>'Saimnieciskas pamatdarbibas NP'!AA192-'Naudas plūsma'!AA33-Aprēķini!AA257</f>
        <v>-8318.3457097831069</v>
      </c>
      <c r="AB31" s="524">
        <f>'Saimnieciskas pamatdarbibas NP'!AB192-'Naudas plūsma'!AB33-Aprēķini!AB257</f>
        <v>-8466.4361848671124</v>
      </c>
      <c r="AC31" s="524">
        <f>'Saimnieciskas pamatdarbibas NP'!AC192-'Naudas plūsma'!AC33-Aprēķini!AC257</f>
        <v>-6045.0325068996472</v>
      </c>
      <c r="AD31" s="524">
        <f>'Saimnieciskas pamatdarbibas NP'!AD192-'Naudas plūsma'!AD33-Aprēķini!AD257</f>
        <v>8647.6796134012257</v>
      </c>
      <c r="AE31" s="524">
        <f>'Saimnieciskas pamatdarbibas NP'!AE192-'Naudas plūsma'!AE33-Aprēķini!AE257</f>
        <v>8572.2747308611433</v>
      </c>
      <c r="AF31" s="524">
        <f>'Saimnieciskas pamatdarbibas NP'!AF192-'Naudas plūsma'!AF33-Aprēķini!AF257</f>
        <v>-543.7657580337102</v>
      </c>
      <c r="AG31" s="524">
        <f>'Saimnieciskas pamatdarbibas NP'!AG192-'Naudas plūsma'!AG33-Aprēķini!AG257</f>
        <v>-599.21784019545748</v>
      </c>
      <c r="AH31" s="524">
        <f>'Saimnieciskas pamatdarbibas NP'!AH192-'Naudas plūsma'!AH33-Aprēķini!AH257</f>
        <v>-654.66992235732141</v>
      </c>
    </row>
    <row r="32" spans="1:34" ht="12.75" x14ac:dyDescent="0.2">
      <c r="A32" s="549" t="s">
        <v>94</v>
      </c>
      <c r="B32" s="550">
        <f>-'Saimnieciskas pamatdarbibas NP'!B191*'gadu šķirošana'!C56</f>
        <v>0</v>
      </c>
      <c r="C32" s="550">
        <f>-'Saimnieciskas pamatdarbibas NP'!C191*'gadu šķirošana'!F56</f>
        <v>0</v>
      </c>
      <c r="D32" s="550">
        <f>-'Saimnieciskas pamatdarbibas NP'!D191*'gadu šķirošana'!E56</f>
        <v>-48.551026439049963</v>
      </c>
      <c r="E32" s="550">
        <f>-'Saimnieciskas pamatdarbibas NP'!E191*'gadu šķirošana'!F56</f>
        <v>-310.97524301056831</v>
      </c>
      <c r="F32" s="550">
        <f>-'Saimnieciskas pamatdarbibas NP'!F191*'gadu šķirošana'!G56</f>
        <v>-341.61006833410528</v>
      </c>
      <c r="G32" s="550">
        <f>-'Saimnieciskas pamatdarbibas NP'!G191*'gadu šķirošana'!H56</f>
        <v>-361.15034443671072</v>
      </c>
      <c r="H32" s="550">
        <f>-'Saimnieciskas pamatdarbibas NP'!H191*'gadu šķirošana'!I56</f>
        <v>-360.82703395454888</v>
      </c>
      <c r="I32" s="550">
        <f>-'Saimnieciskas pamatdarbibas NP'!I191*'gadu šķirošana'!J56</f>
        <v>-355.25225423381778</v>
      </c>
      <c r="J32" s="550">
        <f>-'Saimnieciskas pamatdarbibas NP'!J191*'gadu šķirošana'!K56</f>
        <v>-421.87305142648239</v>
      </c>
      <c r="K32" s="550">
        <f>-'Saimnieciskas pamatdarbibas NP'!K191*'gadu šķirošana'!L56</f>
        <v>-400.70877129231962</v>
      </c>
      <c r="L32" s="550">
        <f>-'Saimnieciskas pamatdarbibas NP'!L191*'gadu šķirošana'!M56</f>
        <v>-431.9254847722861</v>
      </c>
      <c r="M32" s="550">
        <f>-'Saimnieciskas pamatdarbibas NP'!M191*'gadu šķirošana'!N56</f>
        <v>-468.34498383224519</v>
      </c>
      <c r="N32" s="550">
        <f>-'Saimnieciskas pamatdarbibas NP'!N191*'gadu šķirošana'!O56</f>
        <v>-499.53812690401833</v>
      </c>
      <c r="O32" s="550">
        <f>-'Saimnieciskas pamatdarbibas NP'!O191*'gadu šķirošana'!P56</f>
        <v>-426.69912878409849</v>
      </c>
      <c r="P32" s="550">
        <f>-'Saimnieciskas pamatdarbibas NP'!P191*'gadu šķirošana'!Q56</f>
        <v>-426.6991287840998</v>
      </c>
      <c r="Q32" s="550">
        <f>-'Saimnieciskas pamatdarbibas NP'!Q191*'gadu šķirošana'!R56</f>
        <v>-468.32141342405561</v>
      </c>
      <c r="R32" s="550">
        <f>-'Saimnieciskas pamatdarbibas NP'!R191*'gadu šķirošana'!S56</f>
        <v>-51.697870085276278</v>
      </c>
      <c r="S32" s="550">
        <f>-'Saimnieciskas pamatdarbibas NP'!S191*'gadu šķirošana'!T56</f>
        <v>-109.21135636349855</v>
      </c>
      <c r="T32" s="550">
        <f>-'Saimnieciskas pamatdarbibas NP'!T191*'gadu šķirošana'!U56</f>
        <v>-30.86315735710863</v>
      </c>
      <c r="U32" s="550">
        <f>-'Saimnieciskas pamatdarbibas NP'!U191*'gadu šķirošana'!V56</f>
        <v>-25.660371777114943</v>
      </c>
      <c r="V32" s="550">
        <f>-'Saimnieciskas pamatdarbibas NP'!V191*'gadu šķirošana'!W56</f>
        <v>99.206482142749337</v>
      </c>
      <c r="W32" s="550">
        <f>-'Saimnieciskas pamatdarbibas NP'!W191*'gadu šķirošana'!X56</f>
        <v>109.61205330273758</v>
      </c>
      <c r="X32" s="550">
        <f>-'Saimnieciskas pamatdarbibas NP'!X191*'gadu šķirošana'!Y56</f>
        <v>78.418910230963832</v>
      </c>
      <c r="Y32" s="550">
        <f>-'Saimnieciskas pamatdarbibas NP'!Y191*'gadu šķirošana'!Z56</f>
        <v>88.824481390948421</v>
      </c>
      <c r="Z32" s="550">
        <f>-'Saimnieciskas pamatdarbibas NP'!Z191*'gadu šķirošana'!AA56</f>
        <v>104.45640853912271</v>
      </c>
      <c r="AA32" s="550">
        <f>-'Saimnieciskas pamatdarbibas NP'!AA191*'gadu šķirošana'!AB56</f>
        <v>109.65919411911858</v>
      </c>
      <c r="AB32" s="550">
        <f>-'Saimnieciskas pamatdarbibas NP'!AB191*'gadu šķirošana'!AC56</f>
        <v>88.871622207330944</v>
      </c>
      <c r="AC32" s="550">
        <f>-'Saimnieciskas pamatdarbibas NP'!AC191*'gadu šķirošana'!AD56</f>
        <v>-483.45836200022785</v>
      </c>
      <c r="AD32" s="550">
        <f>-'Saimnieciskas pamatdarbibas NP'!AD191*'gadu šķirošana'!AE56</f>
        <v>-1962.5579728427897</v>
      </c>
      <c r="AE32" s="550">
        <f>-'Saimnieciskas pamatdarbibas NP'!AE191*'gadu šķirošana'!AF56</f>
        <v>-2014.5858286427342</v>
      </c>
      <c r="AF32" s="550">
        <f>-'Saimnieciskas pamatdarbibas NP'!AF191*'gadu šķirošana'!AG56</f>
        <v>-1904.6909304417086</v>
      </c>
      <c r="AG32" s="550">
        <f>-'Saimnieciskas pamatdarbibas NP'!AG191*'gadu šķirošana'!AH56</f>
        <v>-1930.7048583416804</v>
      </c>
      <c r="AH32" s="550">
        <f>-'Saimnieciskas pamatdarbibas NP'!AH191*'gadu šķirošana'!AI56</f>
        <v>-1956.7187862416504</v>
      </c>
    </row>
    <row r="33" spans="1:34" ht="12.75" x14ac:dyDescent="0.2">
      <c r="A33" s="549" t="s">
        <v>95</v>
      </c>
      <c r="B33" s="550">
        <f>Aprēķini!B78+Aprēķini!B84+Aprēķini!B90</f>
        <v>0</v>
      </c>
      <c r="C33" s="550">
        <f>Aprēķini!C78+Aprēķini!C84+Aprēķini!C90</f>
        <v>0</v>
      </c>
      <c r="D33" s="550">
        <f>Aprēķini!D78+Aprēķini!D84+Aprēķini!D90</f>
        <v>27431.968799999999</v>
      </c>
      <c r="E33" s="550">
        <f>Aprēķini!E78+Aprēķini!E84+Aprēķini!E90</f>
        <v>36832.051800000001</v>
      </c>
      <c r="F33" s="550">
        <f>Aprēķini!F78+Aprēķini!F84+Aprēķini!F90</f>
        <v>36832.051800000001</v>
      </c>
      <c r="G33" s="550">
        <f>Aprēķini!G78+Aprēķini!G84+Aprēķini!G90</f>
        <v>36832.051800000001</v>
      </c>
      <c r="H33" s="550">
        <f>Aprēķini!H78+Aprēķini!H84+Aprēķini!H90</f>
        <v>36832.051800000001</v>
      </c>
      <c r="I33" s="550">
        <f>Aprēķini!I78+Aprēķini!I84+Aprēķini!I90</f>
        <v>36832.051800000001</v>
      </c>
      <c r="J33" s="550">
        <f>Aprēķini!J78+Aprēķini!J84+Aprēķini!J90</f>
        <v>36832.051800000001</v>
      </c>
      <c r="K33" s="550">
        <f>Aprēķini!K78+Aprēķini!K84+Aprēķini!K90</f>
        <v>36832.051800000001</v>
      </c>
      <c r="L33" s="550">
        <f>Aprēķini!L78+Aprēķini!L84+Aprēķini!L90</f>
        <v>36832.051800000001</v>
      </c>
      <c r="M33" s="550">
        <f>Aprēķini!M78+Aprēķini!M84+Aprēķini!M90</f>
        <v>36832.051800000001</v>
      </c>
      <c r="N33" s="550">
        <f>Aprēķini!N78+Aprēķini!N84+Aprēķini!N90</f>
        <v>36832.051800000001</v>
      </c>
      <c r="O33" s="550">
        <f>Aprēķini!O78+Aprēķini!O84+Aprēķini!O90</f>
        <v>27431.968799999999</v>
      </c>
      <c r="P33" s="550">
        <f>Aprēķini!P78+Aprēķini!P84+Aprēķini!P90</f>
        <v>27431.968799999999</v>
      </c>
      <c r="Q33" s="550">
        <f>Aprēķini!Q78+Aprēķini!Q84+Aprēķini!Q90</f>
        <v>27431.968799999999</v>
      </c>
      <c r="R33" s="550">
        <f>Aprēķini!R78+Aprēķini!R84+Aprēķini!R90</f>
        <v>27431.968799999999</v>
      </c>
      <c r="S33" s="550">
        <f>Aprēķini!S78+Aprēķini!S84+Aprēķini!S90</f>
        <v>27431.968799999999</v>
      </c>
      <c r="T33" s="550">
        <f>Aprēķini!T78+Aprēķini!T84+Aprēķini!T90</f>
        <v>27431.968799999999</v>
      </c>
      <c r="U33" s="550">
        <f>Aprēķini!U78+Aprēķini!U84+Aprēķini!U90</f>
        <v>27431.968799999999</v>
      </c>
      <c r="V33" s="550">
        <f>Aprēķini!V78+Aprēķini!V84+Aprēķini!V90</f>
        <v>27431.968799999999</v>
      </c>
      <c r="W33" s="550">
        <f>Aprēķini!W78+Aprēķini!W84+Aprēķini!W90</f>
        <v>27431.968799999999</v>
      </c>
      <c r="X33" s="550">
        <f>Aprēķini!X78+Aprēķini!X84+Aprēķini!X90</f>
        <v>27431.968799999999</v>
      </c>
      <c r="Y33" s="550">
        <f>Aprēķini!Y78+Aprēķini!Y84+Aprēķini!Y90</f>
        <v>27431.968799999999</v>
      </c>
      <c r="Z33" s="550">
        <f>Aprēķini!Z78+Aprēķini!Z84+Aprēķini!Z90</f>
        <v>27431.968799999999</v>
      </c>
      <c r="AA33" s="550">
        <f>Aprēķini!AA78+Aprēķini!AA84+Aprēķini!AA90</f>
        <v>27431.968799999999</v>
      </c>
      <c r="AB33" s="550">
        <f>Aprēķini!AB78+Aprēķini!AB84+Aprēķini!AB90</f>
        <v>27431.968799999999</v>
      </c>
      <c r="AC33" s="550">
        <f>Aprēķini!AC78+Aprēķini!AC84+Aprēķini!AC90</f>
        <v>27431.968799999999</v>
      </c>
      <c r="AD33" s="550">
        <f>Aprēķini!AD78+Aprēķini!AD84+Aprēķini!AD90</f>
        <v>27431.968799999999</v>
      </c>
      <c r="AE33" s="550">
        <f>Aprēķini!AE78+Aprēķini!AE84+Aprēķini!AE90</f>
        <v>27431.968799999999</v>
      </c>
      <c r="AF33" s="550">
        <f>Aprēķini!AF78+Aprēķini!AF84+Aprēķini!AF90</f>
        <v>27431.968799999999</v>
      </c>
      <c r="AG33" s="550">
        <f>Aprēķini!AG78+Aprēķini!AG84+Aprēķini!AG90</f>
        <v>27431.968799999999</v>
      </c>
      <c r="AH33" s="550">
        <f>Aprēķini!AH78+Aprēķini!AH84+Aprēķini!AH90</f>
        <v>27431.968799999999</v>
      </c>
    </row>
    <row r="34" spans="1:34" ht="12.75" x14ac:dyDescent="0.2">
      <c r="A34" s="549" t="s">
        <v>589</v>
      </c>
      <c r="B34" s="550">
        <v>0</v>
      </c>
      <c r="C34" s="550">
        <v>0</v>
      </c>
      <c r="D34" s="550">
        <v>0</v>
      </c>
      <c r="E34" s="550">
        <v>0</v>
      </c>
      <c r="F34" s="550">
        <v>0</v>
      </c>
      <c r="G34" s="550">
        <v>0</v>
      </c>
      <c r="H34" s="550">
        <v>0</v>
      </c>
      <c r="I34" s="550">
        <v>0</v>
      </c>
      <c r="J34" s="550">
        <v>0</v>
      </c>
      <c r="K34" s="550">
        <v>0</v>
      </c>
      <c r="L34" s="550">
        <v>0</v>
      </c>
      <c r="M34" s="550">
        <v>0</v>
      </c>
      <c r="N34" s="550">
        <v>0</v>
      </c>
      <c r="O34" s="550">
        <v>0</v>
      </c>
      <c r="P34" s="550">
        <v>0</v>
      </c>
      <c r="Q34" s="550">
        <v>0</v>
      </c>
      <c r="R34" s="550">
        <v>0</v>
      </c>
      <c r="S34" s="550">
        <v>0</v>
      </c>
      <c r="T34" s="550">
        <v>0</v>
      </c>
      <c r="U34" s="550">
        <v>0</v>
      </c>
      <c r="V34" s="550">
        <v>0</v>
      </c>
      <c r="W34" s="550">
        <v>0</v>
      </c>
      <c r="X34" s="550">
        <v>0</v>
      </c>
      <c r="Y34" s="550">
        <v>0</v>
      </c>
      <c r="Z34" s="550">
        <v>0</v>
      </c>
      <c r="AA34" s="550">
        <v>0</v>
      </c>
      <c r="AB34" s="550">
        <v>0</v>
      </c>
      <c r="AC34" s="550">
        <v>0</v>
      </c>
      <c r="AD34" s="550">
        <v>0</v>
      </c>
      <c r="AE34" s="550">
        <v>0</v>
      </c>
      <c r="AF34" s="550">
        <v>0</v>
      </c>
      <c r="AG34" s="550">
        <v>0</v>
      </c>
      <c r="AH34" s="550">
        <v>0</v>
      </c>
    </row>
    <row r="35" spans="1:34" ht="12.75" x14ac:dyDescent="0.2">
      <c r="A35" s="523" t="s">
        <v>96</v>
      </c>
      <c r="B35" s="525">
        <f>SUM(B31:B34)</f>
        <v>-1242.5840000000001</v>
      </c>
      <c r="C35" s="525">
        <f>SUM(C31:C34)</f>
        <v>-1642.7779573968703</v>
      </c>
      <c r="D35" s="525">
        <f t="shared" ref="D35:AH35" si="8">SUM(D31:D34)</f>
        <v>1146.2799072119669</v>
      </c>
      <c r="E35" s="525">
        <f t="shared" si="8"/>
        <v>16039.120050990903</v>
      </c>
      <c r="F35" s="525">
        <f t="shared" si="8"/>
        <v>15887.762299934999</v>
      </c>
      <c r="G35" s="525">
        <f t="shared" si="8"/>
        <v>16326.444655716648</v>
      </c>
      <c r="H35" s="525">
        <f t="shared" si="8"/>
        <v>16290.555484150453</v>
      </c>
      <c r="I35" s="525">
        <f t="shared" si="8"/>
        <v>15931.660954412262</v>
      </c>
      <c r="J35" s="525">
        <f t="shared" si="8"/>
        <v>20013.934404847874</v>
      </c>
      <c r="K35" s="525">
        <f t="shared" si="8"/>
        <v>20367.045480068289</v>
      </c>
      <c r="L35" s="525">
        <f t="shared" si="8"/>
        <v>20190.418578672918</v>
      </c>
      <c r="M35" s="525">
        <f t="shared" si="8"/>
        <v>20355.441263696954</v>
      </c>
      <c r="N35" s="525">
        <f t="shared" si="8"/>
        <v>20177.26657216348</v>
      </c>
      <c r="O35" s="525">
        <f t="shared" si="8"/>
        <v>15351.862602752284</v>
      </c>
      <c r="P35" s="525">
        <f t="shared" si="8"/>
        <v>15309.552843215759</v>
      </c>
      <c r="Q35" s="525">
        <f t="shared" si="8"/>
        <v>18000.439775036342</v>
      </c>
      <c r="R35" s="525">
        <f t="shared" si="8"/>
        <v>16819.850669586689</v>
      </c>
      <c r="S35" s="525">
        <f t="shared" si="8"/>
        <v>21124.259842320087</v>
      </c>
      <c r="T35" s="525">
        <f t="shared" si="8"/>
        <v>16507.085014697237</v>
      </c>
      <c r="U35" s="525">
        <f t="shared" si="8"/>
        <v>16693.125668741217</v>
      </c>
      <c r="V35" s="525">
        <f t="shared" si="8"/>
        <v>16521.225835133569</v>
      </c>
      <c r="W35" s="525">
        <f t="shared" si="8"/>
        <v>16515.616902757851</v>
      </c>
      <c r="X35" s="525">
        <f t="shared" si="8"/>
        <v>19241.656871600993</v>
      </c>
      <c r="Y35" s="525">
        <f t="shared" si="8"/>
        <v>19236.047939225624</v>
      </c>
      <c r="Z35" s="525">
        <f t="shared" si="8"/>
        <v>18887.241630292352</v>
      </c>
      <c r="AA35" s="525">
        <f t="shared" si="8"/>
        <v>19223.282284336012</v>
      </c>
      <c r="AB35" s="525">
        <f t="shared" si="8"/>
        <v>19054.404237340219</v>
      </c>
      <c r="AC35" s="525">
        <f t="shared" si="8"/>
        <v>20903.477931100126</v>
      </c>
      <c r="AD35" s="525">
        <f t="shared" si="8"/>
        <v>34117.090440558437</v>
      </c>
      <c r="AE35" s="525">
        <f t="shared" si="8"/>
        <v>33989.657702218406</v>
      </c>
      <c r="AF35" s="525">
        <f t="shared" si="8"/>
        <v>24983.512111524578</v>
      </c>
      <c r="AG35" s="525">
        <f t="shared" si="8"/>
        <v>24902.04610146286</v>
      </c>
      <c r="AH35" s="525">
        <f t="shared" si="8"/>
        <v>24820.580091401025</v>
      </c>
    </row>
    <row r="36" spans="1:34" ht="12.75" x14ac:dyDescent="0.2">
      <c r="A36" s="523" t="s">
        <v>98</v>
      </c>
      <c r="B36" s="551"/>
      <c r="C36" s="551"/>
      <c r="D36" s="551"/>
      <c r="E36" s="551"/>
      <c r="F36" s="551"/>
      <c r="G36" s="551"/>
      <c r="H36" s="551"/>
      <c r="I36" s="551"/>
      <c r="J36" s="551"/>
      <c r="K36" s="551"/>
      <c r="L36" s="551"/>
      <c r="M36" s="551"/>
      <c r="N36" s="551"/>
      <c r="O36" s="551"/>
      <c r="P36" s="551"/>
      <c r="Q36" s="551"/>
      <c r="R36" s="551"/>
      <c r="S36" s="551"/>
      <c r="T36" s="551"/>
      <c r="U36" s="551"/>
      <c r="V36" s="551"/>
      <c r="W36" s="551"/>
      <c r="X36" s="551"/>
      <c r="Y36" s="551"/>
      <c r="Z36" s="551"/>
      <c r="AA36" s="551"/>
      <c r="AB36" s="551"/>
      <c r="AC36" s="551"/>
      <c r="AD36" s="551"/>
      <c r="AE36" s="551"/>
      <c r="AF36" s="551"/>
      <c r="AG36" s="551"/>
      <c r="AH36" s="551"/>
    </row>
    <row r="37" spans="1:34" ht="12.75" x14ac:dyDescent="0.2">
      <c r="A37" s="30" t="s">
        <v>99</v>
      </c>
      <c r="B37" s="524">
        <f t="shared" ref="B37:AH37" si="9">B15</f>
        <v>-591813.80000000005</v>
      </c>
      <c r="C37" s="524">
        <f t="shared" si="9"/>
        <v>-350320.47</v>
      </c>
      <c r="D37" s="524">
        <f t="shared" si="9"/>
        <v>-523465</v>
      </c>
      <c r="E37" s="524">
        <f t="shared" si="9"/>
        <v>0</v>
      </c>
      <c r="F37" s="524">
        <f t="shared" si="9"/>
        <v>0</v>
      </c>
      <c r="G37" s="524">
        <f t="shared" si="9"/>
        <v>0</v>
      </c>
      <c r="H37" s="524">
        <f t="shared" si="9"/>
        <v>0</v>
      </c>
      <c r="I37" s="524">
        <f t="shared" si="9"/>
        <v>0</v>
      </c>
      <c r="J37" s="524">
        <f t="shared" si="9"/>
        <v>0</v>
      </c>
      <c r="K37" s="524">
        <f t="shared" si="9"/>
        <v>0</v>
      </c>
      <c r="L37" s="524">
        <f t="shared" si="9"/>
        <v>0</v>
      </c>
      <c r="M37" s="524">
        <f t="shared" si="9"/>
        <v>0</v>
      </c>
      <c r="N37" s="524">
        <f t="shared" si="9"/>
        <v>0</v>
      </c>
      <c r="O37" s="524">
        <f t="shared" si="9"/>
        <v>0</v>
      </c>
      <c r="P37" s="524">
        <f t="shared" si="9"/>
        <v>0</v>
      </c>
      <c r="Q37" s="524">
        <f t="shared" si="9"/>
        <v>0</v>
      </c>
      <c r="R37" s="524">
        <f t="shared" si="9"/>
        <v>0</v>
      </c>
      <c r="S37" s="524">
        <f t="shared" si="9"/>
        <v>0</v>
      </c>
      <c r="T37" s="524">
        <f t="shared" si="9"/>
        <v>0</v>
      </c>
      <c r="U37" s="524">
        <f t="shared" si="9"/>
        <v>0</v>
      </c>
      <c r="V37" s="524">
        <f t="shared" si="9"/>
        <v>0</v>
      </c>
      <c r="W37" s="524">
        <f t="shared" si="9"/>
        <v>0</v>
      </c>
      <c r="X37" s="524">
        <f t="shared" si="9"/>
        <v>0</v>
      </c>
      <c r="Y37" s="524">
        <f t="shared" si="9"/>
        <v>0</v>
      </c>
      <c r="Z37" s="524">
        <f t="shared" si="9"/>
        <v>0</v>
      </c>
      <c r="AA37" s="524">
        <f t="shared" si="9"/>
        <v>0</v>
      </c>
      <c r="AB37" s="524">
        <f t="shared" si="9"/>
        <v>0</v>
      </c>
      <c r="AC37" s="524">
        <f t="shared" si="9"/>
        <v>0</v>
      </c>
      <c r="AD37" s="524">
        <f t="shared" si="9"/>
        <v>0</v>
      </c>
      <c r="AE37" s="524">
        <f t="shared" si="9"/>
        <v>0</v>
      </c>
      <c r="AF37" s="524">
        <f t="shared" si="9"/>
        <v>0</v>
      </c>
      <c r="AG37" s="524">
        <f t="shared" si="9"/>
        <v>0</v>
      </c>
      <c r="AH37" s="524">
        <f t="shared" si="9"/>
        <v>0</v>
      </c>
    </row>
    <row r="38" spans="1:34" ht="12.75" x14ac:dyDescent="0.2">
      <c r="A38" s="523" t="s">
        <v>100</v>
      </c>
      <c r="B38" s="525">
        <f>SUM(B37:B37)</f>
        <v>-591813.80000000005</v>
      </c>
      <c r="C38" s="525">
        <f>SUM(C37:C37)</f>
        <v>-350320.47</v>
      </c>
      <c r="D38" s="525">
        <f t="shared" ref="D38:AH38" si="10">SUM(D37:D37)</f>
        <v>-523465</v>
      </c>
      <c r="E38" s="525">
        <f t="shared" si="10"/>
        <v>0</v>
      </c>
      <c r="F38" s="525">
        <f t="shared" si="10"/>
        <v>0</v>
      </c>
      <c r="G38" s="525">
        <f t="shared" si="10"/>
        <v>0</v>
      </c>
      <c r="H38" s="525">
        <f t="shared" si="10"/>
        <v>0</v>
      </c>
      <c r="I38" s="525">
        <f t="shared" si="10"/>
        <v>0</v>
      </c>
      <c r="J38" s="525">
        <f t="shared" si="10"/>
        <v>0</v>
      </c>
      <c r="K38" s="525">
        <f t="shared" si="10"/>
        <v>0</v>
      </c>
      <c r="L38" s="525">
        <f t="shared" si="10"/>
        <v>0</v>
      </c>
      <c r="M38" s="525">
        <f t="shared" si="10"/>
        <v>0</v>
      </c>
      <c r="N38" s="525">
        <f t="shared" si="10"/>
        <v>0</v>
      </c>
      <c r="O38" s="525">
        <f t="shared" si="10"/>
        <v>0</v>
      </c>
      <c r="P38" s="525">
        <f t="shared" si="10"/>
        <v>0</v>
      </c>
      <c r="Q38" s="525">
        <f t="shared" si="10"/>
        <v>0</v>
      </c>
      <c r="R38" s="525">
        <f t="shared" si="10"/>
        <v>0</v>
      </c>
      <c r="S38" s="525">
        <f t="shared" si="10"/>
        <v>0</v>
      </c>
      <c r="T38" s="525">
        <f t="shared" si="10"/>
        <v>0</v>
      </c>
      <c r="U38" s="525">
        <f t="shared" si="10"/>
        <v>0</v>
      </c>
      <c r="V38" s="525">
        <f t="shared" si="10"/>
        <v>0</v>
      </c>
      <c r="W38" s="525">
        <f t="shared" si="10"/>
        <v>0</v>
      </c>
      <c r="X38" s="525">
        <f t="shared" si="10"/>
        <v>0</v>
      </c>
      <c r="Y38" s="525">
        <f t="shared" si="10"/>
        <v>0</v>
      </c>
      <c r="Z38" s="525">
        <f t="shared" si="10"/>
        <v>0</v>
      </c>
      <c r="AA38" s="525">
        <f t="shared" si="10"/>
        <v>0</v>
      </c>
      <c r="AB38" s="525">
        <f t="shared" si="10"/>
        <v>0</v>
      </c>
      <c r="AC38" s="525">
        <f t="shared" si="10"/>
        <v>0</v>
      </c>
      <c r="AD38" s="525">
        <f t="shared" si="10"/>
        <v>0</v>
      </c>
      <c r="AE38" s="525">
        <f t="shared" si="10"/>
        <v>0</v>
      </c>
      <c r="AF38" s="525">
        <f t="shared" si="10"/>
        <v>0</v>
      </c>
      <c r="AG38" s="525">
        <f t="shared" si="10"/>
        <v>0</v>
      </c>
      <c r="AH38" s="525">
        <f t="shared" si="10"/>
        <v>0</v>
      </c>
    </row>
    <row r="39" spans="1:34" ht="12.75" x14ac:dyDescent="0.2">
      <c r="A39" s="523" t="s">
        <v>101</v>
      </c>
      <c r="B39" s="552"/>
      <c r="C39" s="552"/>
      <c r="D39" s="552"/>
      <c r="E39" s="552"/>
      <c r="F39" s="552"/>
      <c r="G39" s="552"/>
      <c r="H39" s="552"/>
      <c r="I39" s="552"/>
      <c r="J39" s="552"/>
      <c r="K39" s="552"/>
      <c r="L39" s="552"/>
      <c r="M39" s="552"/>
      <c r="N39" s="552"/>
      <c r="O39" s="552"/>
      <c r="P39" s="552"/>
      <c r="Q39" s="552"/>
      <c r="R39" s="552"/>
      <c r="S39" s="552"/>
      <c r="T39" s="552"/>
      <c r="U39" s="552"/>
      <c r="V39" s="552"/>
      <c r="W39" s="552"/>
      <c r="X39" s="552"/>
      <c r="Y39" s="552"/>
      <c r="Z39" s="552"/>
      <c r="AA39" s="552"/>
      <c r="AB39" s="552"/>
      <c r="AC39" s="552"/>
      <c r="AD39" s="552"/>
      <c r="AE39" s="552"/>
      <c r="AF39" s="552"/>
      <c r="AG39" s="552"/>
      <c r="AH39" s="552"/>
    </row>
    <row r="40" spans="1:34" ht="12.75" x14ac:dyDescent="0.2">
      <c r="A40" s="30" t="s">
        <v>532</v>
      </c>
      <c r="B40" s="524">
        <f t="shared" ref="B40:AH40" si="11">SUM(B41:B43)</f>
        <v>600539.14906969236</v>
      </c>
      <c r="C40" s="524">
        <f t="shared" si="11"/>
        <v>298873.2</v>
      </c>
      <c r="D40" s="524">
        <f t="shared" si="11"/>
        <v>566186.73</v>
      </c>
      <c r="E40" s="524">
        <f t="shared" si="11"/>
        <v>0</v>
      </c>
      <c r="F40" s="524">
        <f t="shared" si="11"/>
        <v>0</v>
      </c>
      <c r="G40" s="524">
        <f t="shared" si="11"/>
        <v>0</v>
      </c>
      <c r="H40" s="524">
        <f t="shared" si="11"/>
        <v>0</v>
      </c>
      <c r="I40" s="524">
        <f t="shared" si="11"/>
        <v>0</v>
      </c>
      <c r="J40" s="524">
        <f t="shared" si="11"/>
        <v>0</v>
      </c>
      <c r="K40" s="524">
        <f t="shared" si="11"/>
        <v>0</v>
      </c>
      <c r="L40" s="524">
        <f t="shared" si="11"/>
        <v>0</v>
      </c>
      <c r="M40" s="524">
        <f t="shared" si="11"/>
        <v>0</v>
      </c>
      <c r="N40" s="524">
        <f t="shared" si="11"/>
        <v>0</v>
      </c>
      <c r="O40" s="524">
        <f t="shared" si="11"/>
        <v>0</v>
      </c>
      <c r="P40" s="524">
        <f t="shared" si="11"/>
        <v>0</v>
      </c>
      <c r="Q40" s="524">
        <f t="shared" si="11"/>
        <v>0</v>
      </c>
      <c r="R40" s="524">
        <f t="shared" si="11"/>
        <v>0</v>
      </c>
      <c r="S40" s="524">
        <f t="shared" si="11"/>
        <v>0</v>
      </c>
      <c r="T40" s="524">
        <f t="shared" si="11"/>
        <v>0</v>
      </c>
      <c r="U40" s="524">
        <f t="shared" si="11"/>
        <v>0</v>
      </c>
      <c r="V40" s="524">
        <f t="shared" si="11"/>
        <v>0</v>
      </c>
      <c r="W40" s="524">
        <f t="shared" si="11"/>
        <v>0</v>
      </c>
      <c r="X40" s="524">
        <f t="shared" si="11"/>
        <v>0</v>
      </c>
      <c r="Y40" s="524">
        <f t="shared" si="11"/>
        <v>0</v>
      </c>
      <c r="Z40" s="524">
        <f t="shared" si="11"/>
        <v>0</v>
      </c>
      <c r="AA40" s="524">
        <f t="shared" si="11"/>
        <v>0</v>
      </c>
      <c r="AB40" s="524">
        <f t="shared" si="11"/>
        <v>0</v>
      </c>
      <c r="AC40" s="524">
        <f t="shared" si="11"/>
        <v>0</v>
      </c>
      <c r="AD40" s="524">
        <f t="shared" si="11"/>
        <v>0</v>
      </c>
      <c r="AE40" s="524">
        <f t="shared" si="11"/>
        <v>0</v>
      </c>
      <c r="AF40" s="524">
        <f t="shared" si="11"/>
        <v>0</v>
      </c>
      <c r="AG40" s="524">
        <f t="shared" si="11"/>
        <v>0</v>
      </c>
      <c r="AH40" s="524">
        <f t="shared" si="11"/>
        <v>0</v>
      </c>
    </row>
    <row r="41" spans="1:34" ht="12.75" x14ac:dyDescent="0.2">
      <c r="A41" s="57" t="str">
        <f t="shared" ref="A41:AH41" si="12">A19</f>
        <v>Valsts budžeta dotācija</v>
      </c>
      <c r="B41" s="524">
        <f t="shared" si="12"/>
        <v>0</v>
      </c>
      <c r="C41" s="524">
        <f t="shared" si="12"/>
        <v>0</v>
      </c>
      <c r="D41" s="524">
        <f t="shared" si="12"/>
        <v>0</v>
      </c>
      <c r="E41" s="524">
        <f t="shared" si="12"/>
        <v>0</v>
      </c>
      <c r="F41" s="524">
        <f t="shared" si="12"/>
        <v>0</v>
      </c>
      <c r="G41" s="524">
        <f t="shared" si="12"/>
        <v>0</v>
      </c>
      <c r="H41" s="524">
        <f t="shared" si="12"/>
        <v>0</v>
      </c>
      <c r="I41" s="524">
        <f t="shared" si="12"/>
        <v>0</v>
      </c>
      <c r="J41" s="524">
        <f t="shared" si="12"/>
        <v>0</v>
      </c>
      <c r="K41" s="524">
        <f t="shared" si="12"/>
        <v>0</v>
      </c>
      <c r="L41" s="524">
        <f t="shared" si="12"/>
        <v>0</v>
      </c>
      <c r="M41" s="524">
        <f t="shared" si="12"/>
        <v>0</v>
      </c>
      <c r="N41" s="524">
        <f t="shared" si="12"/>
        <v>0</v>
      </c>
      <c r="O41" s="524">
        <f t="shared" si="12"/>
        <v>0</v>
      </c>
      <c r="P41" s="524">
        <f t="shared" si="12"/>
        <v>0</v>
      </c>
      <c r="Q41" s="524">
        <f t="shared" si="12"/>
        <v>0</v>
      </c>
      <c r="R41" s="524">
        <f t="shared" si="12"/>
        <v>0</v>
      </c>
      <c r="S41" s="524">
        <f t="shared" si="12"/>
        <v>0</v>
      </c>
      <c r="T41" s="524">
        <f t="shared" si="12"/>
        <v>0</v>
      </c>
      <c r="U41" s="524">
        <f t="shared" si="12"/>
        <v>0</v>
      </c>
      <c r="V41" s="524">
        <f t="shared" si="12"/>
        <v>0</v>
      </c>
      <c r="W41" s="524">
        <f t="shared" si="12"/>
        <v>0</v>
      </c>
      <c r="X41" s="524">
        <f t="shared" si="12"/>
        <v>0</v>
      </c>
      <c r="Y41" s="524">
        <f t="shared" si="12"/>
        <v>0</v>
      </c>
      <c r="Z41" s="524">
        <f t="shared" si="12"/>
        <v>0</v>
      </c>
      <c r="AA41" s="524">
        <f t="shared" si="12"/>
        <v>0</v>
      </c>
      <c r="AB41" s="524">
        <f t="shared" si="12"/>
        <v>0</v>
      </c>
      <c r="AC41" s="524">
        <f t="shared" si="12"/>
        <v>0</v>
      </c>
      <c r="AD41" s="524">
        <f t="shared" si="12"/>
        <v>0</v>
      </c>
      <c r="AE41" s="524">
        <f t="shared" si="12"/>
        <v>0</v>
      </c>
      <c r="AF41" s="524">
        <f t="shared" si="12"/>
        <v>0</v>
      </c>
      <c r="AG41" s="524">
        <f t="shared" si="12"/>
        <v>0</v>
      </c>
      <c r="AH41" s="524">
        <f t="shared" si="12"/>
        <v>0</v>
      </c>
    </row>
    <row r="42" spans="1:34" ht="12.75" x14ac:dyDescent="0.2">
      <c r="A42" s="57" t="str">
        <f t="shared" ref="A42:AH42" si="13">A20</f>
        <v>KF līdzfinansējums</v>
      </c>
      <c r="B42" s="524">
        <f t="shared" si="13"/>
        <v>352022.34906969237</v>
      </c>
      <c r="C42" s="524">
        <f t="shared" si="13"/>
        <v>207391</v>
      </c>
      <c r="D42" s="524">
        <f t="shared" si="13"/>
        <v>326770</v>
      </c>
      <c r="E42" s="524">
        <f t="shared" si="13"/>
        <v>0</v>
      </c>
      <c r="F42" s="524">
        <f t="shared" si="13"/>
        <v>0</v>
      </c>
      <c r="G42" s="524">
        <f t="shared" si="13"/>
        <v>0</v>
      </c>
      <c r="H42" s="524">
        <f t="shared" si="13"/>
        <v>0</v>
      </c>
      <c r="I42" s="524">
        <f t="shared" si="13"/>
        <v>0</v>
      </c>
      <c r="J42" s="524">
        <f t="shared" si="13"/>
        <v>0</v>
      </c>
      <c r="K42" s="524">
        <f t="shared" si="13"/>
        <v>0</v>
      </c>
      <c r="L42" s="524">
        <f t="shared" si="13"/>
        <v>0</v>
      </c>
      <c r="M42" s="524">
        <f t="shared" si="13"/>
        <v>0</v>
      </c>
      <c r="N42" s="524">
        <f t="shared" si="13"/>
        <v>0</v>
      </c>
      <c r="O42" s="524">
        <f t="shared" si="13"/>
        <v>0</v>
      </c>
      <c r="P42" s="524">
        <f t="shared" si="13"/>
        <v>0</v>
      </c>
      <c r="Q42" s="524">
        <f t="shared" si="13"/>
        <v>0</v>
      </c>
      <c r="R42" s="524">
        <f t="shared" si="13"/>
        <v>0</v>
      </c>
      <c r="S42" s="524">
        <f t="shared" si="13"/>
        <v>0</v>
      </c>
      <c r="T42" s="524">
        <f t="shared" si="13"/>
        <v>0</v>
      </c>
      <c r="U42" s="524">
        <f t="shared" si="13"/>
        <v>0</v>
      </c>
      <c r="V42" s="524">
        <f t="shared" si="13"/>
        <v>0</v>
      </c>
      <c r="W42" s="524">
        <f t="shared" si="13"/>
        <v>0</v>
      </c>
      <c r="X42" s="524">
        <f t="shared" si="13"/>
        <v>0</v>
      </c>
      <c r="Y42" s="524">
        <f t="shared" si="13"/>
        <v>0</v>
      </c>
      <c r="Z42" s="524">
        <f t="shared" si="13"/>
        <v>0</v>
      </c>
      <c r="AA42" s="524">
        <f t="shared" si="13"/>
        <v>0</v>
      </c>
      <c r="AB42" s="524">
        <f t="shared" si="13"/>
        <v>0</v>
      </c>
      <c r="AC42" s="524">
        <f t="shared" si="13"/>
        <v>0</v>
      </c>
      <c r="AD42" s="524">
        <f t="shared" si="13"/>
        <v>0</v>
      </c>
      <c r="AE42" s="524">
        <f t="shared" si="13"/>
        <v>0</v>
      </c>
      <c r="AF42" s="524">
        <f t="shared" si="13"/>
        <v>0</v>
      </c>
      <c r="AG42" s="524">
        <f t="shared" si="13"/>
        <v>0</v>
      </c>
      <c r="AH42" s="524">
        <f t="shared" si="13"/>
        <v>0</v>
      </c>
    </row>
    <row r="43" spans="1:34" ht="12.75" x14ac:dyDescent="0.2">
      <c r="A43" s="57" t="str">
        <f t="shared" ref="A43:AH43" si="14">A21</f>
        <v>Aizņēmumi</v>
      </c>
      <c r="B43" s="524">
        <f t="shared" si="14"/>
        <v>248516.8</v>
      </c>
      <c r="C43" s="524">
        <f t="shared" si="14"/>
        <v>91482.2</v>
      </c>
      <c r="D43" s="524">
        <f t="shared" si="14"/>
        <v>239416.73</v>
      </c>
      <c r="E43" s="524">
        <f t="shared" si="14"/>
        <v>0</v>
      </c>
      <c r="F43" s="524">
        <f t="shared" si="14"/>
        <v>0</v>
      </c>
      <c r="G43" s="524">
        <f t="shared" si="14"/>
        <v>0</v>
      </c>
      <c r="H43" s="524">
        <f t="shared" si="14"/>
        <v>0</v>
      </c>
      <c r="I43" s="524">
        <f t="shared" si="14"/>
        <v>0</v>
      </c>
      <c r="J43" s="524">
        <f t="shared" si="14"/>
        <v>0</v>
      </c>
      <c r="K43" s="524">
        <f t="shared" si="14"/>
        <v>0</v>
      </c>
      <c r="L43" s="524">
        <f t="shared" si="14"/>
        <v>0</v>
      </c>
      <c r="M43" s="524">
        <f t="shared" si="14"/>
        <v>0</v>
      </c>
      <c r="N43" s="524">
        <f t="shared" si="14"/>
        <v>0</v>
      </c>
      <c r="O43" s="524">
        <f t="shared" si="14"/>
        <v>0</v>
      </c>
      <c r="P43" s="524">
        <f t="shared" si="14"/>
        <v>0</v>
      </c>
      <c r="Q43" s="524">
        <f t="shared" si="14"/>
        <v>0</v>
      </c>
      <c r="R43" s="524">
        <f t="shared" si="14"/>
        <v>0</v>
      </c>
      <c r="S43" s="524">
        <f t="shared" si="14"/>
        <v>0</v>
      </c>
      <c r="T43" s="524">
        <f t="shared" si="14"/>
        <v>0</v>
      </c>
      <c r="U43" s="524">
        <f t="shared" si="14"/>
        <v>0</v>
      </c>
      <c r="V43" s="524">
        <f t="shared" si="14"/>
        <v>0</v>
      </c>
      <c r="W43" s="524">
        <f t="shared" si="14"/>
        <v>0</v>
      </c>
      <c r="X43" s="524">
        <f t="shared" si="14"/>
        <v>0</v>
      </c>
      <c r="Y43" s="524">
        <f t="shared" si="14"/>
        <v>0</v>
      </c>
      <c r="Z43" s="524">
        <f t="shared" si="14"/>
        <v>0</v>
      </c>
      <c r="AA43" s="524">
        <f t="shared" si="14"/>
        <v>0</v>
      </c>
      <c r="AB43" s="524">
        <f t="shared" si="14"/>
        <v>0</v>
      </c>
      <c r="AC43" s="524">
        <f t="shared" si="14"/>
        <v>0</v>
      </c>
      <c r="AD43" s="524">
        <f t="shared" si="14"/>
        <v>0</v>
      </c>
      <c r="AE43" s="524">
        <f t="shared" si="14"/>
        <v>0</v>
      </c>
      <c r="AF43" s="524">
        <f t="shared" si="14"/>
        <v>0</v>
      </c>
      <c r="AG43" s="524">
        <f t="shared" si="14"/>
        <v>0</v>
      </c>
      <c r="AH43" s="524">
        <f t="shared" si="14"/>
        <v>0</v>
      </c>
    </row>
    <row r="44" spans="1:34" ht="12.75" x14ac:dyDescent="0.2">
      <c r="A44" s="549" t="s">
        <v>102</v>
      </c>
      <c r="B44" s="524">
        <f t="shared" ref="B44:AH44" si="15">B22</f>
        <v>0</v>
      </c>
      <c r="C44" s="524">
        <f t="shared" si="15"/>
        <v>0</v>
      </c>
      <c r="D44" s="524">
        <f t="shared" si="15"/>
        <v>0</v>
      </c>
      <c r="E44" s="524">
        <f t="shared" si="15"/>
        <v>-7980.5576666666666</v>
      </c>
      <c r="F44" s="524">
        <f t="shared" si="15"/>
        <v>-7980.5576666666666</v>
      </c>
      <c r="G44" s="524">
        <f t="shared" si="15"/>
        <v>-7980.5576666666666</v>
      </c>
      <c r="H44" s="524">
        <f t="shared" si="15"/>
        <v>-7980.5576666666666</v>
      </c>
      <c r="I44" s="524">
        <f t="shared" si="15"/>
        <v>-7980.5576666666666</v>
      </c>
      <c r="J44" s="524">
        <f t="shared" si="15"/>
        <v>-7980.5576666666666</v>
      </c>
      <c r="K44" s="524">
        <f t="shared" si="15"/>
        <v>-7980.5576666666666</v>
      </c>
      <c r="L44" s="524">
        <f t="shared" si="15"/>
        <v>-7980.5576666666666</v>
      </c>
      <c r="M44" s="524">
        <f t="shared" si="15"/>
        <v>-7980.5576666666666</v>
      </c>
      <c r="N44" s="524">
        <f t="shared" si="15"/>
        <v>-7980.5576666666666</v>
      </c>
      <c r="O44" s="524">
        <f t="shared" si="15"/>
        <v>-7980.5576666666666</v>
      </c>
      <c r="P44" s="524">
        <f t="shared" si="15"/>
        <v>-7980.5576666666666</v>
      </c>
      <c r="Q44" s="524">
        <f t="shared" si="15"/>
        <v>-7980.5576666666666</v>
      </c>
      <c r="R44" s="524">
        <f t="shared" si="15"/>
        <v>-7980.5576666666666</v>
      </c>
      <c r="S44" s="524">
        <f t="shared" si="15"/>
        <v>-7980.5576666666666</v>
      </c>
      <c r="T44" s="524">
        <f t="shared" si="15"/>
        <v>-7980.5576666666666</v>
      </c>
      <c r="U44" s="524">
        <f t="shared" si="15"/>
        <v>-7980.5576666666666</v>
      </c>
      <c r="V44" s="524">
        <f t="shared" si="15"/>
        <v>-7980.5576666666666</v>
      </c>
      <c r="W44" s="524">
        <f t="shared" si="15"/>
        <v>-7980.5576666666666</v>
      </c>
      <c r="X44" s="524">
        <f t="shared" si="15"/>
        <v>-7980.5576666666666</v>
      </c>
      <c r="Y44" s="524">
        <f t="shared" si="15"/>
        <v>-7980.5576666666666</v>
      </c>
      <c r="Z44" s="524">
        <f t="shared" si="15"/>
        <v>-7980.5576666666666</v>
      </c>
      <c r="AA44" s="524">
        <f t="shared" si="15"/>
        <v>-7980.5576666666666</v>
      </c>
      <c r="AB44" s="524">
        <f t="shared" si="15"/>
        <v>-7980.5576666666666</v>
      </c>
      <c r="AC44" s="524">
        <f t="shared" si="15"/>
        <v>-7980.5576666666666</v>
      </c>
      <c r="AD44" s="524">
        <f t="shared" si="15"/>
        <v>-7980.5576666666666</v>
      </c>
      <c r="AE44" s="524">
        <f t="shared" si="15"/>
        <v>-7980.5576666666666</v>
      </c>
      <c r="AF44" s="524">
        <f t="shared" si="15"/>
        <v>-7980.5576666666666</v>
      </c>
      <c r="AG44" s="524">
        <f t="shared" si="15"/>
        <v>-7980.5576666666666</v>
      </c>
      <c r="AH44" s="524">
        <f t="shared" si="15"/>
        <v>-7980.5576666666666</v>
      </c>
    </row>
    <row r="45" spans="1:34" ht="12.75" x14ac:dyDescent="0.2">
      <c r="A45" s="549" t="s">
        <v>103</v>
      </c>
      <c r="B45" s="525">
        <f t="shared" ref="B45:AH45" si="16">B40+B44</f>
        <v>600539.14906969236</v>
      </c>
      <c r="C45" s="525">
        <f t="shared" si="16"/>
        <v>298873.2</v>
      </c>
      <c r="D45" s="525">
        <f t="shared" si="16"/>
        <v>566186.73</v>
      </c>
      <c r="E45" s="525">
        <f t="shared" si="16"/>
        <v>-7980.5576666666666</v>
      </c>
      <c r="F45" s="525">
        <f t="shared" si="16"/>
        <v>-7980.5576666666666</v>
      </c>
      <c r="G45" s="525">
        <f t="shared" si="16"/>
        <v>-7980.5576666666666</v>
      </c>
      <c r="H45" s="525">
        <f t="shared" si="16"/>
        <v>-7980.5576666666666</v>
      </c>
      <c r="I45" s="525">
        <f t="shared" si="16"/>
        <v>-7980.5576666666666</v>
      </c>
      <c r="J45" s="525">
        <f t="shared" si="16"/>
        <v>-7980.5576666666666</v>
      </c>
      <c r="K45" s="525">
        <f t="shared" si="16"/>
        <v>-7980.5576666666666</v>
      </c>
      <c r="L45" s="525">
        <f t="shared" si="16"/>
        <v>-7980.5576666666666</v>
      </c>
      <c r="M45" s="525">
        <f t="shared" si="16"/>
        <v>-7980.5576666666666</v>
      </c>
      <c r="N45" s="525">
        <f t="shared" si="16"/>
        <v>-7980.5576666666666</v>
      </c>
      <c r="O45" s="525">
        <f t="shared" si="16"/>
        <v>-7980.5576666666666</v>
      </c>
      <c r="P45" s="525">
        <f t="shared" si="16"/>
        <v>-7980.5576666666666</v>
      </c>
      <c r="Q45" s="525">
        <f t="shared" si="16"/>
        <v>-7980.5576666666666</v>
      </c>
      <c r="R45" s="525">
        <f t="shared" si="16"/>
        <v>-7980.5576666666666</v>
      </c>
      <c r="S45" s="525">
        <f t="shared" si="16"/>
        <v>-7980.5576666666666</v>
      </c>
      <c r="T45" s="525">
        <f t="shared" si="16"/>
        <v>-7980.5576666666666</v>
      </c>
      <c r="U45" s="525">
        <f t="shared" si="16"/>
        <v>-7980.5576666666666</v>
      </c>
      <c r="V45" s="525">
        <f t="shared" si="16"/>
        <v>-7980.5576666666666</v>
      </c>
      <c r="W45" s="525">
        <f t="shared" si="16"/>
        <v>-7980.5576666666666</v>
      </c>
      <c r="X45" s="525">
        <f t="shared" si="16"/>
        <v>-7980.5576666666666</v>
      </c>
      <c r="Y45" s="525">
        <f t="shared" si="16"/>
        <v>-7980.5576666666666</v>
      </c>
      <c r="Z45" s="525">
        <f t="shared" si="16"/>
        <v>-7980.5576666666666</v>
      </c>
      <c r="AA45" s="525">
        <f t="shared" si="16"/>
        <v>-7980.5576666666666</v>
      </c>
      <c r="AB45" s="525">
        <f t="shared" si="16"/>
        <v>-7980.5576666666666</v>
      </c>
      <c r="AC45" s="525">
        <f t="shared" si="16"/>
        <v>-7980.5576666666666</v>
      </c>
      <c r="AD45" s="525">
        <f t="shared" si="16"/>
        <v>-7980.5576666666666</v>
      </c>
      <c r="AE45" s="525">
        <f t="shared" si="16"/>
        <v>-7980.5576666666666</v>
      </c>
      <c r="AF45" s="525">
        <f t="shared" si="16"/>
        <v>-7980.5576666666666</v>
      </c>
      <c r="AG45" s="525">
        <f t="shared" si="16"/>
        <v>-7980.5576666666666</v>
      </c>
      <c r="AH45" s="525">
        <f t="shared" si="16"/>
        <v>-7980.5576666666666</v>
      </c>
    </row>
    <row r="46" spans="1:34" ht="12.75" x14ac:dyDescent="0.2">
      <c r="A46" s="549" t="s">
        <v>104</v>
      </c>
      <c r="B46" s="525">
        <v>0</v>
      </c>
      <c r="C46" s="525">
        <f t="shared" ref="C46:AH46" si="17">C24</f>
        <v>0</v>
      </c>
      <c r="D46" s="525">
        <f t="shared" si="17"/>
        <v>0</v>
      </c>
      <c r="E46" s="525">
        <f t="shared" si="17"/>
        <v>0</v>
      </c>
      <c r="F46" s="525">
        <f t="shared" si="17"/>
        <v>0</v>
      </c>
      <c r="G46" s="525">
        <f t="shared" si="17"/>
        <v>0</v>
      </c>
      <c r="H46" s="525">
        <f t="shared" si="17"/>
        <v>0</v>
      </c>
      <c r="I46" s="525">
        <f t="shared" si="17"/>
        <v>0</v>
      </c>
      <c r="J46" s="525">
        <f t="shared" si="17"/>
        <v>0</v>
      </c>
      <c r="K46" s="525">
        <f t="shared" si="17"/>
        <v>0</v>
      </c>
      <c r="L46" s="525">
        <f t="shared" si="17"/>
        <v>0</v>
      </c>
      <c r="M46" s="525">
        <f t="shared" si="17"/>
        <v>0</v>
      </c>
      <c r="N46" s="525">
        <f t="shared" si="17"/>
        <v>0</v>
      </c>
      <c r="O46" s="525">
        <f t="shared" si="17"/>
        <v>0</v>
      </c>
      <c r="P46" s="525">
        <f t="shared" si="17"/>
        <v>0</v>
      </c>
      <c r="Q46" s="525">
        <f t="shared" si="17"/>
        <v>0</v>
      </c>
      <c r="R46" s="525">
        <f t="shared" si="17"/>
        <v>0</v>
      </c>
      <c r="S46" s="525">
        <f t="shared" si="17"/>
        <v>0</v>
      </c>
      <c r="T46" s="525">
        <f t="shared" si="17"/>
        <v>0</v>
      </c>
      <c r="U46" s="525">
        <f t="shared" si="17"/>
        <v>0</v>
      </c>
      <c r="V46" s="525">
        <f t="shared" si="17"/>
        <v>0</v>
      </c>
      <c r="W46" s="525">
        <f t="shared" si="17"/>
        <v>0</v>
      </c>
      <c r="X46" s="525">
        <f t="shared" si="17"/>
        <v>0</v>
      </c>
      <c r="Y46" s="525">
        <f t="shared" si="17"/>
        <v>0</v>
      </c>
      <c r="Z46" s="525">
        <f t="shared" si="17"/>
        <v>0</v>
      </c>
      <c r="AA46" s="525">
        <f t="shared" si="17"/>
        <v>0</v>
      </c>
      <c r="AB46" s="525">
        <f t="shared" si="17"/>
        <v>0</v>
      </c>
      <c r="AC46" s="525">
        <f t="shared" si="17"/>
        <v>0</v>
      </c>
      <c r="AD46" s="525">
        <f t="shared" si="17"/>
        <v>0</v>
      </c>
      <c r="AE46" s="525">
        <f t="shared" si="17"/>
        <v>0</v>
      </c>
      <c r="AF46" s="525">
        <f t="shared" si="17"/>
        <v>0</v>
      </c>
      <c r="AG46" s="525">
        <f t="shared" si="17"/>
        <v>0</v>
      </c>
      <c r="AH46" s="525">
        <f t="shared" si="17"/>
        <v>0</v>
      </c>
    </row>
    <row r="47" spans="1:34" ht="12.75" x14ac:dyDescent="0.2">
      <c r="A47" s="546" t="s">
        <v>105</v>
      </c>
      <c r="B47" s="553">
        <f t="shared" ref="B47:AH47" si="18">SUM(B35,B38,B45,B46)</f>
        <v>7482.7650696922792</v>
      </c>
      <c r="C47" s="553">
        <f t="shared" si="18"/>
        <v>-53090.047957396833</v>
      </c>
      <c r="D47" s="553">
        <f t="shared" si="18"/>
        <v>43868.009907211934</v>
      </c>
      <c r="E47" s="553">
        <f t="shared" si="18"/>
        <v>8058.5623843242365</v>
      </c>
      <c r="F47" s="553">
        <f t="shared" si="18"/>
        <v>7907.2046332683321</v>
      </c>
      <c r="G47" s="553">
        <f t="shared" si="18"/>
        <v>8345.8869890499809</v>
      </c>
      <c r="H47" s="553">
        <f t="shared" si="18"/>
        <v>8309.9978174837852</v>
      </c>
      <c r="I47" s="553">
        <f t="shared" si="18"/>
        <v>7951.1032877455955</v>
      </c>
      <c r="J47" s="553">
        <f t="shared" si="18"/>
        <v>12033.376738181207</v>
      </c>
      <c r="K47" s="553">
        <f t="shared" si="18"/>
        <v>12386.487813401622</v>
      </c>
      <c r="L47" s="553">
        <f t="shared" si="18"/>
        <v>12209.86091200625</v>
      </c>
      <c r="M47" s="553">
        <f t="shared" si="18"/>
        <v>12374.883597030286</v>
      </c>
      <c r="N47" s="553">
        <f t="shared" si="18"/>
        <v>12196.708905496813</v>
      </c>
      <c r="O47" s="553">
        <f t="shared" si="18"/>
        <v>7371.3049360856176</v>
      </c>
      <c r="P47" s="553">
        <f t="shared" si="18"/>
        <v>7328.9951765490923</v>
      </c>
      <c r="Q47" s="553">
        <f t="shared" si="18"/>
        <v>10019.882108369675</v>
      </c>
      <c r="R47" s="553">
        <f t="shared" si="18"/>
        <v>8839.2930029200215</v>
      </c>
      <c r="S47" s="553">
        <f t="shared" si="18"/>
        <v>13143.70217565342</v>
      </c>
      <c r="T47" s="553">
        <f t="shared" si="18"/>
        <v>8526.5273480305696</v>
      </c>
      <c r="U47" s="553">
        <f t="shared" si="18"/>
        <v>8712.5680020745494</v>
      </c>
      <c r="V47" s="553">
        <f t="shared" si="18"/>
        <v>8540.668168466902</v>
      </c>
      <c r="W47" s="553">
        <f t="shared" si="18"/>
        <v>8535.0592360911833</v>
      </c>
      <c r="X47" s="553">
        <f t="shared" si="18"/>
        <v>11261.099204934326</v>
      </c>
      <c r="Y47" s="553">
        <f t="shared" si="18"/>
        <v>11255.490272558956</v>
      </c>
      <c r="Z47" s="553">
        <f t="shared" si="18"/>
        <v>10906.683963625685</v>
      </c>
      <c r="AA47" s="553">
        <f t="shared" si="18"/>
        <v>11242.724617669344</v>
      </c>
      <c r="AB47" s="553">
        <f t="shared" si="18"/>
        <v>11073.846570673551</v>
      </c>
      <c r="AC47" s="553">
        <f t="shared" si="18"/>
        <v>12922.920264433458</v>
      </c>
      <c r="AD47" s="553">
        <f t="shared" si="18"/>
        <v>26136.532773891769</v>
      </c>
      <c r="AE47" s="553">
        <f t="shared" si="18"/>
        <v>26009.100035551739</v>
      </c>
      <c r="AF47" s="553">
        <f t="shared" si="18"/>
        <v>17002.954444857911</v>
      </c>
      <c r="AG47" s="553">
        <f t="shared" si="18"/>
        <v>16921.488434796192</v>
      </c>
      <c r="AH47" s="553">
        <f t="shared" si="18"/>
        <v>16840.022424734358</v>
      </c>
    </row>
    <row r="48" spans="1:34" ht="12.75" x14ac:dyDescent="0.2">
      <c r="A48" s="546" t="s">
        <v>106</v>
      </c>
      <c r="B48" s="553">
        <f>B47</f>
        <v>7482.7650696922792</v>
      </c>
      <c r="C48" s="553">
        <f>C47+B48</f>
        <v>-45607.282887704554</v>
      </c>
      <c r="D48" s="553">
        <f t="shared" ref="D48:AH48" si="19">D47+C48</f>
        <v>-1739.2729804926203</v>
      </c>
      <c r="E48" s="553">
        <f t="shared" si="19"/>
        <v>6319.2894038316163</v>
      </c>
      <c r="F48" s="553">
        <f t="shared" si="19"/>
        <v>14226.494037099948</v>
      </c>
      <c r="G48" s="553">
        <f t="shared" si="19"/>
        <v>22572.381026149931</v>
      </c>
      <c r="H48" s="553">
        <f t="shared" si="19"/>
        <v>30882.378843633716</v>
      </c>
      <c r="I48" s="553">
        <f t="shared" si="19"/>
        <v>38833.482131379315</v>
      </c>
      <c r="J48" s="553">
        <f t="shared" si="19"/>
        <v>50866.858869560521</v>
      </c>
      <c r="K48" s="553">
        <f t="shared" si="19"/>
        <v>63253.346682962147</v>
      </c>
      <c r="L48" s="553">
        <f t="shared" si="19"/>
        <v>75463.207594968393</v>
      </c>
      <c r="M48" s="553">
        <f t="shared" si="19"/>
        <v>87838.091191998683</v>
      </c>
      <c r="N48" s="553">
        <f t="shared" si="19"/>
        <v>100034.80009749549</v>
      </c>
      <c r="O48" s="553">
        <f t="shared" si="19"/>
        <v>107406.10503358112</v>
      </c>
      <c r="P48" s="553">
        <f t="shared" si="19"/>
        <v>114735.10021013021</v>
      </c>
      <c r="Q48" s="553">
        <f t="shared" si="19"/>
        <v>124754.98231849988</v>
      </c>
      <c r="R48" s="553">
        <f t="shared" si="19"/>
        <v>133594.2753214199</v>
      </c>
      <c r="S48" s="553">
        <f t="shared" si="19"/>
        <v>146737.97749707333</v>
      </c>
      <c r="T48" s="553">
        <f t="shared" si="19"/>
        <v>155264.50484510389</v>
      </c>
      <c r="U48" s="553">
        <f t="shared" si="19"/>
        <v>163977.07284717844</v>
      </c>
      <c r="V48" s="553">
        <f t="shared" si="19"/>
        <v>172517.74101564533</v>
      </c>
      <c r="W48" s="553">
        <f t="shared" si="19"/>
        <v>181052.80025173651</v>
      </c>
      <c r="X48" s="553">
        <f t="shared" si="19"/>
        <v>192313.89945667083</v>
      </c>
      <c r="Y48" s="553">
        <f t="shared" si="19"/>
        <v>203569.38972922979</v>
      </c>
      <c r="Z48" s="553">
        <f t="shared" si="19"/>
        <v>214476.07369285548</v>
      </c>
      <c r="AA48" s="553">
        <f t="shared" si="19"/>
        <v>225718.79831052484</v>
      </c>
      <c r="AB48" s="553">
        <f t="shared" si="19"/>
        <v>236792.64488119839</v>
      </c>
      <c r="AC48" s="553">
        <f t="shared" si="19"/>
        <v>249715.56514563184</v>
      </c>
      <c r="AD48" s="553">
        <f t="shared" si="19"/>
        <v>275852.0979195236</v>
      </c>
      <c r="AE48" s="553">
        <f t="shared" si="19"/>
        <v>301861.19795507536</v>
      </c>
      <c r="AF48" s="553">
        <f t="shared" si="19"/>
        <v>318864.15239993326</v>
      </c>
      <c r="AG48" s="553">
        <f t="shared" si="19"/>
        <v>335785.64083472942</v>
      </c>
      <c r="AH48" s="553">
        <f t="shared" si="19"/>
        <v>352625.66325946379</v>
      </c>
    </row>
  </sheetData>
  <phoneticPr fontId="2" type="noConversion"/>
  <printOptions horizontalCentered="1"/>
  <pageMargins left="0.59027777777777779" right="0.59027777777777779" top="1" bottom="1.1388888888888888" header="0.51180555555555551" footer="1"/>
  <pageSetup paperSize="9" scale="66" firstPageNumber="0" orientation="landscape" horizontalDpi="300" verticalDpi="300" r:id="rId1"/>
  <headerFooter alignWithMargins="0">
    <oddFooter>&amp;L&amp;A&amp;R&amp;P</oddFooter>
  </headerFooter>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04"/>
  <sheetViews>
    <sheetView showGridLines="0" topLeftCell="A85" zoomScale="85" workbookViewId="0">
      <pane xSplit="1" topLeftCell="B1" activePane="topRight" state="frozen"/>
      <selection pane="topRight" activeCell="Q128" sqref="A123:Q128"/>
    </sheetView>
  </sheetViews>
  <sheetFormatPr defaultRowHeight="12.75" outlineLevelRow="1" x14ac:dyDescent="0.2"/>
  <cols>
    <col min="1" max="1" width="50" style="28" customWidth="1"/>
    <col min="2" max="34" width="14.140625" style="28" customWidth="1"/>
    <col min="35" max="16384" width="9.140625" style="28"/>
  </cols>
  <sheetData>
    <row r="1" spans="1:34" ht="19.5" x14ac:dyDescent="0.2">
      <c r="A1" s="492" t="str">
        <f>'Datu ievade'!$B$12</f>
        <v>SIA "Dobeles Ūdens"</v>
      </c>
    </row>
    <row r="2" spans="1:34" ht="18" x14ac:dyDescent="0.2">
      <c r="A2" s="489" t="str">
        <f>'Datu ievade'!$B$13</f>
        <v>"Kanalizācijas tīklu paplašināšana Dobeles aglomerācijā" II kārta</v>
      </c>
    </row>
    <row r="3" spans="1:34" ht="18" customHeight="1" x14ac:dyDescent="0.2">
      <c r="A3" s="491" t="s">
        <v>55</v>
      </c>
      <c r="B3" s="491"/>
      <c r="C3" s="491"/>
      <c r="D3" s="491"/>
      <c r="E3" s="491"/>
    </row>
    <row r="5" spans="1:34" ht="15" x14ac:dyDescent="0.2">
      <c r="A5" s="493" t="s">
        <v>56</v>
      </c>
      <c r="B5" s="118"/>
      <c r="C5" s="118"/>
      <c r="D5" s="118"/>
    </row>
    <row r="6" spans="1:34" x14ac:dyDescent="0.2">
      <c r="A6" s="30"/>
      <c r="B6" s="522">
        <f>Aprēķini!B6</f>
        <v>2017</v>
      </c>
      <c r="C6" s="522">
        <f t="shared" ref="C6:AG6" si="0">B6+1</f>
        <v>2018</v>
      </c>
      <c r="D6" s="522">
        <f t="shared" si="0"/>
        <v>2019</v>
      </c>
      <c r="E6" s="522">
        <f t="shared" si="0"/>
        <v>2020</v>
      </c>
      <c r="F6" s="522">
        <f t="shared" si="0"/>
        <v>2021</v>
      </c>
      <c r="G6" s="522">
        <f t="shared" si="0"/>
        <v>2022</v>
      </c>
      <c r="H6" s="522">
        <f t="shared" si="0"/>
        <v>2023</v>
      </c>
      <c r="I6" s="522">
        <f t="shared" si="0"/>
        <v>2024</v>
      </c>
      <c r="J6" s="522">
        <f t="shared" si="0"/>
        <v>2025</v>
      </c>
      <c r="K6" s="522">
        <f t="shared" si="0"/>
        <v>2026</v>
      </c>
      <c r="L6" s="522">
        <f t="shared" si="0"/>
        <v>2027</v>
      </c>
      <c r="M6" s="522">
        <f t="shared" si="0"/>
        <v>2028</v>
      </c>
      <c r="N6" s="522">
        <f t="shared" si="0"/>
        <v>2029</v>
      </c>
      <c r="O6" s="522">
        <f t="shared" si="0"/>
        <v>2030</v>
      </c>
      <c r="P6" s="522">
        <f t="shared" si="0"/>
        <v>2031</v>
      </c>
      <c r="Q6" s="522">
        <f t="shared" si="0"/>
        <v>2032</v>
      </c>
      <c r="R6" s="522">
        <f t="shared" si="0"/>
        <v>2033</v>
      </c>
      <c r="S6" s="522">
        <f t="shared" si="0"/>
        <v>2034</v>
      </c>
      <c r="T6" s="522">
        <f t="shared" si="0"/>
        <v>2035</v>
      </c>
      <c r="U6" s="522">
        <f t="shared" si="0"/>
        <v>2036</v>
      </c>
      <c r="V6" s="522">
        <f t="shared" si="0"/>
        <v>2037</v>
      </c>
      <c r="W6" s="522">
        <f t="shared" si="0"/>
        <v>2038</v>
      </c>
      <c r="X6" s="522">
        <f t="shared" si="0"/>
        <v>2039</v>
      </c>
      <c r="Y6" s="522">
        <f t="shared" si="0"/>
        <v>2040</v>
      </c>
      <c r="Z6" s="522">
        <f t="shared" si="0"/>
        <v>2041</v>
      </c>
      <c r="AA6" s="522">
        <f t="shared" si="0"/>
        <v>2042</v>
      </c>
      <c r="AB6" s="522">
        <f t="shared" si="0"/>
        <v>2043</v>
      </c>
      <c r="AC6" s="522">
        <f t="shared" si="0"/>
        <v>2044</v>
      </c>
      <c r="AD6" s="522">
        <f t="shared" si="0"/>
        <v>2045</v>
      </c>
      <c r="AE6" s="522">
        <f t="shared" si="0"/>
        <v>2046</v>
      </c>
      <c r="AF6" s="522">
        <f t="shared" si="0"/>
        <v>2047</v>
      </c>
      <c r="AG6" s="522">
        <f t="shared" si="0"/>
        <v>2048</v>
      </c>
      <c r="AH6" s="522">
        <f>AG6+1</f>
        <v>2049</v>
      </c>
    </row>
    <row r="7" spans="1:34" x14ac:dyDescent="0.2">
      <c r="A7" s="621" t="s">
        <v>285</v>
      </c>
      <c r="B7" s="622"/>
      <c r="C7" s="622"/>
      <c r="D7" s="622"/>
      <c r="E7" s="622"/>
      <c r="F7" s="622"/>
      <c r="G7" s="622"/>
      <c r="H7" s="622"/>
      <c r="I7" s="622"/>
      <c r="J7" s="622"/>
      <c r="K7" s="622"/>
      <c r="L7" s="622"/>
      <c r="M7" s="622"/>
      <c r="N7" s="622"/>
      <c r="O7" s="622"/>
      <c r="P7" s="622"/>
      <c r="Q7" s="622"/>
      <c r="R7" s="622"/>
      <c r="S7" s="622"/>
      <c r="T7" s="622"/>
      <c r="U7" s="622"/>
      <c r="V7" s="622"/>
      <c r="W7" s="622"/>
      <c r="X7" s="622"/>
      <c r="Y7" s="622"/>
      <c r="Z7" s="622"/>
      <c r="AA7" s="622"/>
      <c r="AB7" s="622"/>
      <c r="AC7" s="622"/>
      <c r="AD7" s="622"/>
      <c r="AE7" s="622"/>
      <c r="AF7" s="622"/>
      <c r="AG7" s="622"/>
      <c r="AH7" s="622"/>
    </row>
    <row r="8" spans="1:34" x14ac:dyDescent="0.2">
      <c r="A8" s="621" t="s">
        <v>299</v>
      </c>
      <c r="B8" s="622"/>
      <c r="C8" s="622"/>
      <c r="D8" s="622"/>
      <c r="E8" s="622"/>
      <c r="F8" s="622"/>
      <c r="G8" s="622"/>
      <c r="H8" s="622"/>
      <c r="I8" s="622"/>
      <c r="J8" s="622"/>
      <c r="K8" s="622"/>
      <c r="L8" s="622"/>
      <c r="M8" s="622"/>
      <c r="N8" s="622"/>
      <c r="O8" s="622"/>
      <c r="P8" s="622"/>
      <c r="Q8" s="622"/>
      <c r="R8" s="622"/>
      <c r="S8" s="622"/>
      <c r="T8" s="622"/>
      <c r="U8" s="622"/>
      <c r="V8" s="622"/>
      <c r="W8" s="622"/>
      <c r="X8" s="622"/>
      <c r="Y8" s="622"/>
      <c r="Z8" s="622"/>
      <c r="AA8" s="622"/>
      <c r="AB8" s="622"/>
      <c r="AC8" s="622"/>
      <c r="AD8" s="622"/>
      <c r="AE8" s="622"/>
      <c r="AF8" s="622"/>
      <c r="AG8" s="622"/>
      <c r="AH8" s="622"/>
    </row>
    <row r="9" spans="1:34" x14ac:dyDescent="0.2">
      <c r="A9" s="30" t="s">
        <v>591</v>
      </c>
      <c r="B9" s="524">
        <f>'Datu ievade'!B127</f>
        <v>29155</v>
      </c>
      <c r="C9" s="524">
        <f>'Datu ievade'!B151*'Kopējie pieņēmumi'!C10</f>
        <v>22544.484463095167</v>
      </c>
      <c r="D9" s="524">
        <f>'Datu ievade'!C151*'Kopējie pieņēmumi'!D10</f>
        <v>23246.864657654209</v>
      </c>
      <c r="E9" s="524">
        <f>'Datu ievade'!D151*'Kopējie pieņēmumi'!E10</f>
        <v>23738.64623000643</v>
      </c>
      <c r="F9" s="524">
        <f>'Datu ievade'!E151*'Kopējie pieņēmumi'!F10</f>
        <v>24242.522125734748</v>
      </c>
      <c r="G9" s="524">
        <f>'Datu ievade'!F151*'Kopējie pieņēmumi'!G10</f>
        <v>24748.735160950819</v>
      </c>
      <c r="H9" s="524">
        <f>'Datu ievade'!G151*'Kopējie pieņēmumi'!H10</f>
        <v>25190.676860253508</v>
      </c>
      <c r="I9" s="524">
        <f>'Datu ievade'!H151*'Kopējie pieņēmumi'!I10</f>
        <v>25632.618559556202</v>
      </c>
      <c r="J9" s="524">
        <f>'Datu ievade'!I151*'Kopējie pieņēmumi'!J10</f>
        <v>26074.560258858895</v>
      </c>
      <c r="K9" s="524">
        <f>'Datu ievade'!J151*'Kopējie pieņēmumi'!K10</f>
        <v>26516.501958161589</v>
      </c>
      <c r="L9" s="524">
        <f>'Datu ievade'!K151*'Kopējie pieņēmumi'!L10</f>
        <v>26958.443657464282</v>
      </c>
      <c r="M9" s="524">
        <f>'Datu ievade'!L151*'Kopējie pieņēmumi'!M10</f>
        <v>27400.385356766976</v>
      </c>
      <c r="N9" s="524">
        <f>'Datu ievade'!M151*'Kopējie pieņēmumi'!N10</f>
        <v>27842.327056069669</v>
      </c>
      <c r="O9" s="524">
        <f>'Datu ievade'!N151*'Kopējie pieņēmumi'!O10</f>
        <v>28505.239605023711</v>
      </c>
      <c r="P9" s="524">
        <f>'Datu ievade'!O151*'Kopējie pieņēmumi'!P10</f>
        <v>29168.15215397775</v>
      </c>
      <c r="Q9" s="524">
        <f>'Datu ievade'!P151*'Kopējie pieņēmumi'!Q10</f>
        <v>29831.064702931792</v>
      </c>
      <c r="R9" s="524">
        <f>'Datu ievade'!Q151*'Kopējie pieņēmumi'!R10</f>
        <v>36013.977251885823</v>
      </c>
      <c r="S9" s="524">
        <f>'Datu ievade'!R151*'Kopējie pieņēmumi'!S10</f>
        <v>36796.889800839868</v>
      </c>
      <c r="T9" s="524">
        <f>'Datu ievade'!S151*'Kopējie pieņēmumi'!T10</f>
        <v>37579.802349793907</v>
      </c>
      <c r="U9" s="524">
        <f>'Datu ievade'!T151*'Kopējie pieņēmumi'!U10</f>
        <v>38362.714898747945</v>
      </c>
      <c r="V9" s="524">
        <f>'Datu ievade'!U151*'Kopējie pieņēmumi'!V10</f>
        <v>39145.627447701991</v>
      </c>
      <c r="W9" s="524">
        <f>'Datu ievade'!V151*'Kopējie pieņēmumi'!W10</f>
        <v>39928.539996656029</v>
      </c>
      <c r="X9" s="524">
        <f>'Datu ievade'!W151*'Kopējie pieņēmumi'!X10</f>
        <v>40711.452545610067</v>
      </c>
      <c r="Y9" s="524">
        <f>'Datu ievade'!X151*'Kopējie pieņēmumi'!Y10</f>
        <v>41494.365094564106</v>
      </c>
      <c r="Z9" s="524">
        <f>'Datu ievade'!Y151*'Kopējie pieņēmumi'!Z10</f>
        <v>42277.277643518151</v>
      </c>
      <c r="AA9" s="524">
        <f>'Datu ievade'!Z151*'Kopējie pieņēmumi'!AA10</f>
        <v>43060.190192472182</v>
      </c>
      <c r="AB9" s="524">
        <f>'Datu ievade'!AA151*'Kopējie pieņēmumi'!AB10</f>
        <v>43843.102741426221</v>
      </c>
      <c r="AC9" s="524">
        <f>'Datu ievade'!AB151*'Kopējie pieņēmumi'!AC10</f>
        <v>44626.015290380266</v>
      </c>
      <c r="AD9" s="524">
        <f>'Datu ievade'!AC151*'Kopējie pieņēmumi'!AD10</f>
        <v>45408.927839334305</v>
      </c>
      <c r="AE9" s="524">
        <f>'Datu ievade'!AD151*'Kopējie pieņēmumi'!AE10</f>
        <v>46191.840388288343</v>
      </c>
      <c r="AF9" s="524">
        <f>'Datu ievade'!AE151*'Kopējie pieņēmumi'!AF10</f>
        <v>47235.72378689373</v>
      </c>
      <c r="AG9" s="524">
        <f>'Datu ievade'!AF151*'Kopējie pieņēmumi'!AG10</f>
        <v>48279.607185499117</v>
      </c>
      <c r="AH9" s="524">
        <f>'Datu ievade'!AG151*'Kopējie pieņēmumi'!AH10</f>
        <v>49323.490584104504</v>
      </c>
    </row>
    <row r="10" spans="1:34" x14ac:dyDescent="0.2">
      <c r="A10" s="30" t="s">
        <v>592</v>
      </c>
      <c r="B10" s="524">
        <f>'Datu ievade'!B128</f>
        <v>18226</v>
      </c>
      <c r="C10" s="524">
        <f>'Datu ievade'!B152*'Kopējie pieņēmumi'!C10</f>
        <v>18791.32333273298</v>
      </c>
      <c r="D10" s="524">
        <f>'Datu ievade'!C152*'Kopējie pieņēmumi'!D10</f>
        <v>19376.772663369607</v>
      </c>
      <c r="E10" s="524">
        <f>'Datu ievade'!D152*'Kopējie pieņēmumi'!E10</f>
        <v>19786.683413392664</v>
      </c>
      <c r="F10" s="524">
        <f>'Datu ievade'!E152*'Kopējie pieņēmumi'!F10</f>
        <v>20206.675047785582</v>
      </c>
      <c r="G10" s="524">
        <f>'Datu ievade'!F152*'Kopējie pieņēmumi'!G10</f>
        <v>20628.614739312394</v>
      </c>
      <c r="H10" s="524">
        <f>'Datu ievade'!G152*'Kopējie pieņēmumi'!H10</f>
        <v>20996.982859657255</v>
      </c>
      <c r="I10" s="524">
        <f>'Datu ievade'!H152*'Kopējie pieņēmumi'!I10</f>
        <v>21365.35098000212</v>
      </c>
      <c r="J10" s="524">
        <f>'Datu ievade'!I152*'Kopējie pieņēmumi'!J10</f>
        <v>21733.719100346985</v>
      </c>
      <c r="K10" s="524">
        <f>'Datu ievade'!J152*'Kopējie pieņēmumi'!K10</f>
        <v>22102.087220691847</v>
      </c>
      <c r="L10" s="524">
        <f>'Datu ievade'!K152*'Kopējie pieņēmumi'!L10</f>
        <v>22470.455341036712</v>
      </c>
      <c r="M10" s="524">
        <f>'Datu ievade'!L152*'Kopējie pieņēmumi'!M10</f>
        <v>22838.823461381577</v>
      </c>
      <c r="N10" s="524">
        <f>'Datu ievade'!M152*'Kopējie pieņēmumi'!N10</f>
        <v>23207.191581726442</v>
      </c>
      <c r="O10" s="524">
        <f>'Datu ievade'!N152*'Kopējie pieņēmumi'!O10</f>
        <v>23759.743762243739</v>
      </c>
      <c r="P10" s="524">
        <f>'Datu ievade'!O152*'Kopējie pieņēmumi'!P10</f>
        <v>24312.295942761033</v>
      </c>
      <c r="Q10" s="524">
        <f>'Datu ievade'!P152*'Kopējie pieņēmumi'!Q10</f>
        <v>24864.848123278331</v>
      </c>
      <c r="R10" s="524">
        <f>'Datu ievade'!Q152*'Kopējie pieņēmumi'!R10</f>
        <v>25417.400303795624</v>
      </c>
      <c r="S10" s="524">
        <f>'Datu ievade'!R152*'Kopējie pieņēmumi'!S10</f>
        <v>25969.952484312922</v>
      </c>
      <c r="T10" s="524">
        <f>'Datu ievade'!S152*'Kopējie pieņēmumi'!T10</f>
        <v>26522.504664830216</v>
      </c>
      <c r="U10" s="524">
        <f>'Datu ievade'!T152*'Kopējie pieņēmumi'!U10</f>
        <v>27075.056845347513</v>
      </c>
      <c r="V10" s="524">
        <f>'Datu ievade'!U152*'Kopējie pieņēmumi'!V10</f>
        <v>27627.609025864811</v>
      </c>
      <c r="W10" s="524">
        <f>'Datu ievade'!V152*'Kopējie pieņēmumi'!W10</f>
        <v>28180.161206382109</v>
      </c>
      <c r="X10" s="524">
        <f>'Datu ievade'!W152*'Kopējie pieņēmumi'!X10</f>
        <v>28732.713386899406</v>
      </c>
      <c r="Y10" s="524">
        <f>'Datu ievade'!X152*'Kopējie pieņēmumi'!Y10</f>
        <v>29285.2655674167</v>
      </c>
      <c r="Z10" s="524">
        <f>'Datu ievade'!Y152*'Kopējie pieņēmumi'!Z10</f>
        <v>29837.817747933997</v>
      </c>
      <c r="AA10" s="524">
        <f>'Datu ievade'!Z152*'Kopējie pieņēmumi'!AA10</f>
        <v>30390.369928451291</v>
      </c>
      <c r="AB10" s="524">
        <f>'Datu ievade'!AA152*'Kopējie pieņēmumi'!AB10</f>
        <v>30942.922108968589</v>
      </c>
      <c r="AC10" s="524">
        <f>'Datu ievade'!AB152*'Kopējie pieņēmumi'!AC10</f>
        <v>31495.474289485883</v>
      </c>
      <c r="AD10" s="524">
        <f>'Datu ievade'!AC152*'Kopējie pieņēmumi'!AD10</f>
        <v>32048.02647000318</v>
      </c>
      <c r="AE10" s="524">
        <f>'Datu ievade'!AD152*'Kopējie pieņēmumi'!AE10</f>
        <v>32600.578650520478</v>
      </c>
      <c r="AF10" s="524">
        <f>'Datu ievade'!AE152*'Kopējie pieņēmumi'!AF10</f>
        <v>33337.314891210204</v>
      </c>
      <c r="AG10" s="524">
        <f>'Datu ievade'!AF152*'Kopējie pieņēmumi'!AG10</f>
        <v>34074.051131899934</v>
      </c>
      <c r="AH10" s="524">
        <f>'Datu ievade'!AG152*'Kopējie pieņēmumi'!AH10</f>
        <v>34810.787372589657</v>
      </c>
    </row>
    <row r="11" spans="1:34" x14ac:dyDescent="0.2">
      <c r="A11" s="30" t="s">
        <v>593</v>
      </c>
      <c r="B11" s="524">
        <f>'Datu ievade'!B129</f>
        <v>17882</v>
      </c>
      <c r="C11" s="524">
        <f>'Datu ievade'!B153*'Kopējie pieņēmumi'!C10</f>
        <v>18436.653343351867</v>
      </c>
      <c r="D11" s="524">
        <f>'Datu ievade'!C153*'Kopējie pieņēmumi'!D10</f>
        <v>19011.052823788832</v>
      </c>
      <c r="E11" s="524">
        <f>'Datu ievade'!D153*'Kopējie pieņēmumi'!E10</f>
        <v>19413.226862629621</v>
      </c>
      <c r="F11" s="524">
        <f>'Datu ievade'!E153*'Kopējie pieņēmumi'!F10</f>
        <v>19825.291517859197</v>
      </c>
      <c r="G11" s="524">
        <f>'Datu ievade'!F153*'Kopējie pieņēmumi'!G10</f>
        <v>20239.267462327673</v>
      </c>
      <c r="H11" s="524">
        <f>'Datu ievade'!G153*'Kopējie pieņēmumi'!H10</f>
        <v>20600.68295272638</v>
      </c>
      <c r="I11" s="524">
        <f>'Datu ievade'!H153*'Kopējie pieņēmumi'!I10</f>
        <v>20962.098443125087</v>
      </c>
      <c r="J11" s="524">
        <f>'Datu ievade'!I153*'Kopējie pieņēmumi'!J10</f>
        <v>21323.513933523795</v>
      </c>
      <c r="K11" s="524">
        <f>'Datu ievade'!J153*'Kopējie pieņēmumi'!K10</f>
        <v>21684.929423922506</v>
      </c>
      <c r="L11" s="524">
        <f>'Datu ievade'!K153*'Kopējie pieņēmumi'!L10</f>
        <v>22046.344914321213</v>
      </c>
      <c r="M11" s="524">
        <f>'Datu ievade'!L153*'Kopējie pieņēmumi'!M10</f>
        <v>22407.760404719924</v>
      </c>
      <c r="N11" s="524">
        <f>'Datu ievade'!M153*'Kopējie pieņēmumi'!N10</f>
        <v>22769.175895118631</v>
      </c>
      <c r="O11" s="524">
        <f>'Datu ievade'!N153*'Kopējie pieņēmumi'!O10</f>
        <v>23311.299130716696</v>
      </c>
      <c r="P11" s="524">
        <f>'Datu ievade'!O153*'Kopējie pieņēmumi'!P10</f>
        <v>23853.422366314757</v>
      </c>
      <c r="Q11" s="524">
        <f>'Datu ievade'!P153*'Kopējie pieņēmumi'!Q10</f>
        <v>24395.545601912821</v>
      </c>
      <c r="R11" s="524">
        <f>'Datu ievade'!Q153*'Kopējie pieņēmumi'!R10</f>
        <v>24937.668837510879</v>
      </c>
      <c r="S11" s="524">
        <f>'Datu ievade'!R153*'Kopējie pieņēmumi'!S10</f>
        <v>25479.792073108943</v>
      </c>
      <c r="T11" s="524">
        <f>'Datu ievade'!S153*'Kopējie pieņēmumi'!T10</f>
        <v>26021.915308707004</v>
      </c>
      <c r="U11" s="524">
        <f>'Datu ievade'!T153*'Kopējie pieņēmumi'!U10</f>
        <v>26564.038544305069</v>
      </c>
      <c r="V11" s="524">
        <f>'Datu ievade'!U153*'Kopējie pieņēmumi'!V10</f>
        <v>27106.16177990313</v>
      </c>
      <c r="W11" s="524">
        <f>'Datu ievade'!V153*'Kopējie pieņēmumi'!W10</f>
        <v>27648.285015501195</v>
      </c>
      <c r="X11" s="524">
        <f>'Datu ievade'!W153*'Kopējie pieņēmumi'!X10</f>
        <v>28190.408251099259</v>
      </c>
      <c r="Y11" s="524">
        <f>'Datu ievade'!X153*'Kopējie pieņēmumi'!Y10</f>
        <v>28732.53148669732</v>
      </c>
      <c r="Z11" s="524">
        <f>'Datu ievade'!Y153*'Kopējie pieņēmumi'!Z10</f>
        <v>29274.654722295385</v>
      </c>
      <c r="AA11" s="524">
        <f>'Datu ievade'!Z153*'Kopējie pieņēmumi'!AA10</f>
        <v>29816.777957893442</v>
      </c>
      <c r="AB11" s="524">
        <f>'Datu ievade'!AA153*'Kopējie pieņēmumi'!AB10</f>
        <v>30358.901193491507</v>
      </c>
      <c r="AC11" s="524">
        <f>'Datu ievade'!AB153*'Kopējie pieņēmumi'!AC10</f>
        <v>30901.024429089568</v>
      </c>
      <c r="AD11" s="524">
        <f>'Datu ievade'!AC153*'Kopējie pieņēmumi'!AD10</f>
        <v>31443.147664687633</v>
      </c>
      <c r="AE11" s="524">
        <f>'Datu ievade'!AD153*'Kopējie pieņēmumi'!AE10</f>
        <v>31985.270900285697</v>
      </c>
      <c r="AF11" s="524">
        <f>'Datu ievade'!AE153*'Kopējie pieņēmumi'!AF10</f>
        <v>32708.101881083112</v>
      </c>
      <c r="AG11" s="524">
        <f>'Datu ievade'!AF153*'Kopējie pieņēmumi'!AG10</f>
        <v>33430.93286188053</v>
      </c>
      <c r="AH11" s="524">
        <f>'Datu ievade'!AG153*'Kopējie pieņēmumi'!AH10</f>
        <v>34153.763842677945</v>
      </c>
    </row>
    <row r="12" spans="1:34" x14ac:dyDescent="0.2">
      <c r="A12" s="30" t="s">
        <v>594</v>
      </c>
      <c r="B12" s="524">
        <f>'Datu ievade'!B130</f>
        <v>21284</v>
      </c>
      <c r="C12" s="524">
        <f>'Datu ievade'!B154*'Kopējie pieņēmumi'!C10</f>
        <v>21944.174575545305</v>
      </c>
      <c r="D12" s="524">
        <f>'Datu ievade'!C154*'Kopējie pieņēmumi'!D10</f>
        <v>22627.851934991697</v>
      </c>
      <c r="E12" s="524">
        <f>'Datu ievade'!D154*'Kopējie pieņēmumi'!E10</f>
        <v>23106.538448954754</v>
      </c>
      <c r="F12" s="524">
        <f>'Datu ievade'!E154*'Kopējie pieņēmumi'!F10</f>
        <v>23596.997241142781</v>
      </c>
      <c r="G12" s="524">
        <f>'Datu ievade'!F154*'Kopējie pieņēmumi'!G10</f>
        <v>24089.730939949797</v>
      </c>
      <c r="H12" s="524">
        <f>'Datu ievade'!G154*'Kopējie pieņēmumi'!H10</f>
        <v>24519.904706734611</v>
      </c>
      <c r="I12" s="524">
        <f>'Datu ievade'!H154*'Kopējie pieņēmumi'!I10</f>
        <v>24950.078473519428</v>
      </c>
      <c r="J12" s="524">
        <f>'Datu ievade'!I154*'Kopējie pieņēmumi'!J10</f>
        <v>25380.252240304249</v>
      </c>
      <c r="K12" s="524">
        <f>'Datu ievade'!J154*'Kopējie pieņēmumi'!K10</f>
        <v>25810.426007089067</v>
      </c>
      <c r="L12" s="524">
        <f>'Datu ievade'!K154*'Kopējie pieņēmumi'!L10</f>
        <v>26240.599773873884</v>
      </c>
      <c r="M12" s="524">
        <f>'Datu ievade'!L154*'Kopējie pieņēmumi'!M10</f>
        <v>26670.773540658702</v>
      </c>
      <c r="N12" s="524">
        <f>'Datu ievade'!M154*'Kopējie pieņēmumi'!N10</f>
        <v>27100.947307443519</v>
      </c>
      <c r="O12" s="524">
        <f>'Datu ievade'!N154*'Kopējie pieņēmumi'!O10</f>
        <v>27746.207957620747</v>
      </c>
      <c r="P12" s="524">
        <f>'Datu ievade'!O154*'Kopējie pieņēmumi'!P10</f>
        <v>28391.468607797975</v>
      </c>
      <c r="Q12" s="524">
        <f>'Datu ievade'!P154*'Kopējie pieņēmumi'!Q10</f>
        <v>29036.729257975203</v>
      </c>
      <c r="R12" s="524">
        <f>'Datu ievade'!Q154*'Kopējie pieņēmumi'!R10</f>
        <v>29681.989908152424</v>
      </c>
      <c r="S12" s="524">
        <f>'Datu ievade'!R154*'Kopējie pieņēmumi'!S10</f>
        <v>30327.250558329652</v>
      </c>
      <c r="T12" s="524">
        <f>'Datu ievade'!S154*'Kopējie pieņēmumi'!T10</f>
        <v>30972.511208506879</v>
      </c>
      <c r="U12" s="524">
        <f>'Datu ievade'!T154*'Kopējie pieņēmumi'!U10</f>
        <v>31617.771858684107</v>
      </c>
      <c r="V12" s="524">
        <f>'Datu ievade'!U154*'Kopējie pieņēmumi'!V10</f>
        <v>32263.032508861332</v>
      </c>
      <c r="W12" s="524">
        <f>'Datu ievade'!V154*'Kopējie pieņēmumi'!W10</f>
        <v>32908.293159038563</v>
      </c>
      <c r="X12" s="524">
        <f>'Datu ievade'!W154*'Kopējie pieņēmumi'!X10</f>
        <v>33553.553809215788</v>
      </c>
      <c r="Y12" s="524">
        <f>'Datu ievade'!X154*'Kopējie pieņēmumi'!Y10</f>
        <v>34198.814459393012</v>
      </c>
      <c r="Z12" s="524">
        <f>'Datu ievade'!Y154*'Kopējie pieņēmumi'!Z10</f>
        <v>34844.075109570244</v>
      </c>
      <c r="AA12" s="524">
        <f>'Datu ievade'!Z154*'Kopējie pieņēmumi'!AA10</f>
        <v>35489.335759747468</v>
      </c>
      <c r="AB12" s="524">
        <f>'Datu ievade'!AA154*'Kopējie pieņēmumi'!AB10</f>
        <v>36134.596409924692</v>
      </c>
      <c r="AC12" s="524">
        <f>'Datu ievade'!AB154*'Kopējie pieņēmumi'!AC10</f>
        <v>36779.857060101916</v>
      </c>
      <c r="AD12" s="524">
        <f>'Datu ievade'!AC154*'Kopējie pieņēmumi'!AD10</f>
        <v>37425.117710279148</v>
      </c>
      <c r="AE12" s="524">
        <f>'Datu ievade'!AD154*'Kopējie pieņēmumi'!AE10</f>
        <v>38070.378360456372</v>
      </c>
      <c r="AF12" s="524">
        <f>'Datu ievade'!AE154*'Kopējie pieņēmumi'!AF10</f>
        <v>38930.725894026007</v>
      </c>
      <c r="AG12" s="524">
        <f>'Datu ievade'!AF154*'Kopējie pieņēmumi'!AG10</f>
        <v>39791.073427595649</v>
      </c>
      <c r="AH12" s="524">
        <f>'Datu ievade'!AG154*'Kopējie pieņēmumi'!AH10</f>
        <v>40651.420961165277</v>
      </c>
    </row>
    <row r="13" spans="1:34" ht="25.5" x14ac:dyDescent="0.2">
      <c r="A13" s="30" t="s">
        <v>595</v>
      </c>
      <c r="B13" s="524">
        <f>'Datu ievade'!B131</f>
        <v>10502</v>
      </c>
      <c r="C13" s="524">
        <f>'Datu ievade'!B155*'Kopējie pieņēmumi'!C10</f>
        <v>10827.744850233828</v>
      </c>
      <c r="D13" s="524">
        <f>'Datu ievade'!C155*'Kopējie pieņēmumi'!D10</f>
        <v>11165.086497899023</v>
      </c>
      <c r="E13" s="524">
        <f>'Datu ievade'!D155*'Kopējie pieņēmumi'!E10</f>
        <v>11401.281093352887</v>
      </c>
      <c r="F13" s="524">
        <f>'Datu ievade'!E155*'Kopējie pieņēmumi'!F10</f>
        <v>11643.284393275771</v>
      </c>
      <c r="G13" s="524">
        <f>'Datu ievade'!F155*'Kopējie pieņēmumi'!G10</f>
        <v>11886.410182829957</v>
      </c>
      <c r="H13" s="524">
        <f>'Datu ievade'!G155*'Kopējie pieņēmumi'!H10</f>
        <v>12098.667507523347</v>
      </c>
      <c r="I13" s="524">
        <f>'Datu ievade'!H155*'Kopējie pieņēmumi'!I10</f>
        <v>12310.924832216739</v>
      </c>
      <c r="J13" s="524">
        <f>'Datu ievade'!I155*'Kopējie pieņēmumi'!J10</f>
        <v>12523.182156910132</v>
      </c>
      <c r="K13" s="524">
        <f>'Datu ievade'!J155*'Kopējie pieņēmumi'!K10</f>
        <v>12735.439481603524</v>
      </c>
      <c r="L13" s="524">
        <f>'Datu ievade'!K155*'Kopējie pieņēmumi'!L10</f>
        <v>12947.696806296915</v>
      </c>
      <c r="M13" s="524">
        <f>'Datu ievade'!L155*'Kopējie pieņēmumi'!M10</f>
        <v>13159.954130990309</v>
      </c>
      <c r="N13" s="524">
        <f>'Datu ievade'!M155*'Kopējie pieņēmumi'!N10</f>
        <v>13372.2114556837</v>
      </c>
      <c r="O13" s="524">
        <f>'Datu ievade'!N155*'Kopējie pieņēmumi'!O10</f>
        <v>13690.597442723789</v>
      </c>
      <c r="P13" s="524">
        <f>'Datu ievade'!O155*'Kopējie pieņēmumi'!P10</f>
        <v>14008.983429763877</v>
      </c>
      <c r="Q13" s="524">
        <f>'Datu ievade'!P155*'Kopējie pieņēmumi'!Q10</f>
        <v>14327.369416803966</v>
      </c>
      <c r="R13" s="524">
        <f>'Datu ievade'!Q155*'Kopējie pieņēmumi'!R10</f>
        <v>14645.755403844052</v>
      </c>
      <c r="S13" s="524">
        <f>'Datu ievade'!R155*'Kopējie pieņēmumi'!S10</f>
        <v>14964.14139088414</v>
      </c>
      <c r="T13" s="524">
        <f>'Datu ievade'!S155*'Kopējie pieņēmumi'!T10</f>
        <v>15282.527377924229</v>
      </c>
      <c r="U13" s="524">
        <f>'Datu ievade'!T155*'Kopējie pieņēmumi'!U10</f>
        <v>15600.913364964317</v>
      </c>
      <c r="V13" s="524">
        <f>'Datu ievade'!U155*'Kopējie pieņēmumi'!V10</f>
        <v>15919.299352004406</v>
      </c>
      <c r="W13" s="524">
        <f>'Datu ievade'!V155*'Kopējie pieņēmumi'!W10</f>
        <v>16237.685339044494</v>
      </c>
      <c r="X13" s="524">
        <f>'Datu ievade'!W155*'Kopējie pieņēmumi'!X10</f>
        <v>16556.071326084584</v>
      </c>
      <c r="Y13" s="524">
        <f>'Datu ievade'!X155*'Kopējie pieņēmumi'!Y10</f>
        <v>16874.457313124673</v>
      </c>
      <c r="Z13" s="524">
        <f>'Datu ievade'!Y155*'Kopējie pieņēmumi'!Z10</f>
        <v>17192.843300164761</v>
      </c>
      <c r="AA13" s="524">
        <f>'Datu ievade'!Z155*'Kopējie pieņēmumi'!AA10</f>
        <v>17511.229287204846</v>
      </c>
      <c r="AB13" s="524">
        <f>'Datu ievade'!AA155*'Kopējie pieņēmumi'!AB10</f>
        <v>17829.615274244934</v>
      </c>
      <c r="AC13" s="524">
        <f>'Datu ievade'!AB155*'Kopējie pieņēmumi'!AC10</f>
        <v>18148.001261285022</v>
      </c>
      <c r="AD13" s="524">
        <f>'Datu ievade'!AC155*'Kopējie pieņēmumi'!AD10</f>
        <v>18466.387248325111</v>
      </c>
      <c r="AE13" s="524">
        <f>'Datu ievade'!AD155*'Kopējie pieņēmumi'!AE10</f>
        <v>18784.773235365199</v>
      </c>
      <c r="AF13" s="524">
        <f>'Datu ievade'!AE155*'Kopējie pieņēmumi'!AF10</f>
        <v>19209.287884751982</v>
      </c>
      <c r="AG13" s="524">
        <f>'Datu ievade'!AF155*'Kopējie pieņēmumi'!AG10</f>
        <v>19633.802534138769</v>
      </c>
      <c r="AH13" s="524">
        <f>'Datu ievade'!AG155*'Kopējie pieņēmumi'!AH10</f>
        <v>20058.317183525549</v>
      </c>
    </row>
    <row r="14" spans="1:34" x14ac:dyDescent="0.2">
      <c r="A14" s="621" t="s">
        <v>295</v>
      </c>
      <c r="B14" s="622"/>
      <c r="C14" s="622"/>
      <c r="D14" s="622"/>
      <c r="E14" s="622"/>
      <c r="F14" s="622"/>
      <c r="G14" s="622"/>
      <c r="H14" s="622"/>
      <c r="I14" s="622"/>
      <c r="J14" s="622"/>
      <c r="K14" s="622"/>
      <c r="L14" s="622"/>
      <c r="M14" s="622"/>
      <c r="N14" s="622"/>
      <c r="O14" s="622"/>
      <c r="P14" s="622"/>
      <c r="Q14" s="622"/>
      <c r="R14" s="622"/>
      <c r="S14" s="622"/>
      <c r="T14" s="622"/>
      <c r="U14" s="622"/>
      <c r="V14" s="622"/>
      <c r="W14" s="622"/>
      <c r="X14" s="622"/>
      <c r="Y14" s="622"/>
      <c r="Z14" s="622"/>
      <c r="AA14" s="622"/>
      <c r="AB14" s="622"/>
      <c r="AC14" s="622"/>
      <c r="AD14" s="622"/>
      <c r="AE14" s="622"/>
      <c r="AF14" s="622"/>
      <c r="AG14" s="622"/>
      <c r="AH14" s="622"/>
    </row>
    <row r="15" spans="1:34" x14ac:dyDescent="0.2">
      <c r="A15" s="30" t="s">
        <v>591</v>
      </c>
      <c r="B15" s="524">
        <f>'Datu ievade'!B138</f>
        <v>31419</v>
      </c>
      <c r="C15" s="524">
        <f>'Datu ievade'!B162*'Kopējie pieņēmumi'!C10</f>
        <v>16215.197047944115</v>
      </c>
      <c r="D15" s="524">
        <f>'Datu ievade'!C162*'Kopējie pieņēmumi'!D10</f>
        <v>16718.296155340133</v>
      </c>
      <c r="E15" s="524">
        <f>'Datu ievade'!D162*'Kopējie pieņēmumi'!E10</f>
        <v>17075.75711476303</v>
      </c>
      <c r="F15" s="524">
        <f>'Datu ievade'!E162*'Kopējie pieņēmumi'!F10</f>
        <v>17434.224469121633</v>
      </c>
      <c r="G15" s="524">
        <f>'Datu ievade'!F162*'Kopējie pieņēmumi'!G10</f>
        <v>17794.798710003124</v>
      </c>
      <c r="H15" s="524">
        <f>'Datu ievade'!G162*'Kopējie pieņēmumi'!H10</f>
        <v>18112.562972681746</v>
      </c>
      <c r="I15" s="524">
        <f>'Datu ievade'!H162*'Kopējie pieņēmumi'!I10</f>
        <v>18430.327235360375</v>
      </c>
      <c r="J15" s="524">
        <f>'Datu ievade'!I162*'Kopējie pieņēmumi'!J10</f>
        <v>18748.091498039001</v>
      </c>
      <c r="K15" s="524">
        <f>'Datu ievade'!J162*'Kopējie pieņēmumi'!K10</f>
        <v>19065.85576071763</v>
      </c>
      <c r="L15" s="524">
        <f>'Datu ievade'!K162*'Kopējie pieņēmumi'!L10</f>
        <v>19383.620023396255</v>
      </c>
      <c r="M15" s="524">
        <f>'Datu ievade'!L162*'Kopējie pieņēmumi'!M10</f>
        <v>19701.384286074885</v>
      </c>
      <c r="N15" s="524">
        <f>'Datu ievade'!M162*'Kopējie pieņēmumi'!N10</f>
        <v>20019.14854875351</v>
      </c>
      <c r="O15" s="524">
        <f>'Datu ievade'!N162*'Kopējie pieņēmumi'!O10</f>
        <v>20495.794942771452</v>
      </c>
      <c r="P15" s="524">
        <f>'Datu ievade'!O162*'Kopējie pieņēmumi'!P10</f>
        <v>20972.441336789394</v>
      </c>
      <c r="Q15" s="524">
        <f>'Datu ievade'!P162*'Kopējie pieņēmumi'!Q10</f>
        <v>21449.087730807336</v>
      </c>
      <c r="R15" s="524">
        <f>'Datu ievade'!Q162*'Kopējie pieņēmumi'!R10</f>
        <v>90925.734124825278</v>
      </c>
      <c r="S15" s="524">
        <f>'Datu ievade'!R162*'Kopējie pieņēmumi'!S10</f>
        <v>92902.380518843216</v>
      </c>
      <c r="T15" s="524">
        <f>'Datu ievade'!S162*'Kopējie pieņēmumi'!T10</f>
        <v>94879.026912861154</v>
      </c>
      <c r="U15" s="524">
        <f>'Datu ievade'!T162*'Kopējie pieņēmumi'!U10</f>
        <v>96855.673306879107</v>
      </c>
      <c r="V15" s="524">
        <f>'Datu ievade'!U162*'Kopējie pieņēmumi'!V10</f>
        <v>113832.31970089705</v>
      </c>
      <c r="W15" s="524">
        <f>'Datu ievade'!V162*'Kopējie pieņēmumi'!W10</f>
        <v>116108.96609491498</v>
      </c>
      <c r="X15" s="524">
        <f>'Datu ievade'!W162*'Kopējie pieņēmumi'!X10</f>
        <v>118385.61248893294</v>
      </c>
      <c r="Y15" s="524">
        <f>'Datu ievade'!X162*'Kopējie pieņēmumi'!Y10</f>
        <v>120662.25888295087</v>
      </c>
      <c r="Z15" s="524">
        <f>'Datu ievade'!Y162*'Kopējie pieņēmumi'!Z10</f>
        <v>122938.90527696881</v>
      </c>
      <c r="AA15" s="524">
        <f>'Datu ievade'!Z162*'Kopējie pieņēmumi'!AA10</f>
        <v>125215.55167098674</v>
      </c>
      <c r="AB15" s="524">
        <f>'Datu ievade'!AA162*'Kopējie pieņēmumi'!AB10</f>
        <v>127492.19806500469</v>
      </c>
      <c r="AC15" s="524">
        <f>'Datu ievade'!AB162*'Kopējie pieņēmumi'!AC10</f>
        <v>129768.84445902263</v>
      </c>
      <c r="AD15" s="524">
        <f>'Datu ievade'!AC162*'Kopējie pieņēmumi'!AD10</f>
        <v>132045.49085304057</v>
      </c>
      <c r="AE15" s="524">
        <f>'Datu ievade'!AD162*'Kopējie pieņēmumi'!AE10</f>
        <v>134322.1372470585</v>
      </c>
      <c r="AF15" s="524">
        <f>'Datu ievade'!AE162*'Kopējie pieņēmumi'!AF10</f>
        <v>137357.66577241578</v>
      </c>
      <c r="AG15" s="524">
        <f>'Datu ievade'!AF162*'Kopējie pieņēmumi'!AG10</f>
        <v>140393.19429777304</v>
      </c>
      <c r="AH15" s="524">
        <f>'Datu ievade'!AG162*'Kopējie pieņēmumi'!AH10</f>
        <v>143428.72282313026</v>
      </c>
    </row>
    <row r="16" spans="1:34" x14ac:dyDescent="0.2">
      <c r="A16" s="30" t="s">
        <v>592</v>
      </c>
      <c r="B16" s="524">
        <f>'Datu ievade'!B139</f>
        <v>77622</v>
      </c>
      <c r="C16" s="524">
        <f>'Datu ievade'!B163*'Kopējie pieņēmumi'!C10</f>
        <v>80120.692909100748</v>
      </c>
      <c r="D16" s="524">
        <f>'Datu ievade'!C163*'Kopējie pieņēmumi'!D10</f>
        <v>82606.549168962199</v>
      </c>
      <c r="E16" s="524">
        <f>'Datu ievade'!D163*'Kopējie pieņēmumi'!E10</f>
        <v>84372.79472689364</v>
      </c>
      <c r="F16" s="524">
        <f>'Datu ievade'!E163*'Kopējie pieņēmumi'!F10</f>
        <v>86144.012969359901</v>
      </c>
      <c r="G16" s="524">
        <f>'Datu ievade'!F163*'Kopējie pieņēmumi'!G10</f>
        <v>87925.641520599791</v>
      </c>
      <c r="H16" s="524">
        <f>'Datu ievade'!G163*'Kopējie pieņēmumi'!H10</f>
        <v>89495.742262039057</v>
      </c>
      <c r="I16" s="524">
        <f>'Datu ievade'!H163*'Kopējie pieņēmumi'!I10</f>
        <v>91065.843003478338</v>
      </c>
      <c r="J16" s="524">
        <f>'Datu ievade'!I163*'Kopējie pieņēmumi'!J10</f>
        <v>92635.943744917618</v>
      </c>
      <c r="K16" s="524">
        <f>'Datu ievade'!J163*'Kopējie pieņēmumi'!K10</f>
        <v>94206.044486356914</v>
      </c>
      <c r="L16" s="524">
        <f>'Datu ievade'!K163*'Kopējie pieņēmumi'!L10</f>
        <v>95776.145227796194</v>
      </c>
      <c r="M16" s="524">
        <f>'Datu ievade'!L163*'Kopējie pieņēmumi'!M10</f>
        <v>97346.245969235475</v>
      </c>
      <c r="N16" s="524">
        <f>'Datu ievade'!M163*'Kopējie pieņēmumi'!N10</f>
        <v>98916.346710674756</v>
      </c>
      <c r="O16" s="524">
        <f>'Datu ievade'!N163*'Kopējie pieņēmumi'!O10</f>
        <v>101271.49782283368</v>
      </c>
      <c r="P16" s="524">
        <f>'Datu ievade'!O163*'Kopējie pieņēmumi'!P10</f>
        <v>103626.64893499261</v>
      </c>
      <c r="Q16" s="524">
        <f>'Datu ievade'!P163*'Kopējie pieņēmumi'!Q10</f>
        <v>105981.80004715153</v>
      </c>
      <c r="R16" s="524">
        <f>'Datu ievade'!Q163*'Kopējie pieņēmumi'!R10</f>
        <v>108336.95115931044</v>
      </c>
      <c r="S16" s="524">
        <f>'Datu ievade'!R163*'Kopējie pieņēmumi'!S10</f>
        <v>110692.10227146937</v>
      </c>
      <c r="T16" s="524">
        <f>'Datu ievade'!S163*'Kopējie pieņēmumi'!T10</f>
        <v>113047.25338362828</v>
      </c>
      <c r="U16" s="524">
        <f>'Datu ievade'!T163*'Kopējie pieņēmumi'!U10</f>
        <v>115402.40449578721</v>
      </c>
      <c r="V16" s="524">
        <f>'Datu ievade'!U163*'Kopējie pieņēmumi'!V10</f>
        <v>117757.55560794614</v>
      </c>
      <c r="W16" s="524">
        <f>'Datu ievade'!V163*'Kopējie pieņēmumi'!W10</f>
        <v>120112.70672010507</v>
      </c>
      <c r="X16" s="524">
        <f>'Datu ievade'!W163*'Kopējie pieņēmumi'!X10</f>
        <v>122467.857832264</v>
      </c>
      <c r="Y16" s="524">
        <f>'Datu ievade'!X163*'Kopējie pieņēmumi'!Y10</f>
        <v>124823.00894442291</v>
      </c>
      <c r="Z16" s="524">
        <f>'Datu ievade'!Y163*'Kopējie pieņēmumi'!Z10</f>
        <v>127178.16005658184</v>
      </c>
      <c r="AA16" s="524">
        <f>'Datu ievade'!Z163*'Kopējie pieņēmumi'!AA10</f>
        <v>129533.31116874075</v>
      </c>
      <c r="AB16" s="524">
        <f>'Datu ievade'!AA163*'Kopējie pieņēmumi'!AB10</f>
        <v>131888.46228089966</v>
      </c>
      <c r="AC16" s="524">
        <f>'Datu ievade'!AB163*'Kopējie pieņēmumi'!AC10</f>
        <v>134243.61339305859</v>
      </c>
      <c r="AD16" s="524">
        <f>'Datu ievade'!AC163*'Kopējie pieņēmumi'!AD10</f>
        <v>136598.76450521752</v>
      </c>
      <c r="AE16" s="524">
        <f>'Datu ievade'!AD163*'Kopējie pieņēmumi'!AE10</f>
        <v>138953.91561737645</v>
      </c>
      <c r="AF16" s="524">
        <f>'Datu ievade'!AE163*'Kopējie pieņēmumi'!AF10</f>
        <v>142094.11710025501</v>
      </c>
      <c r="AG16" s="524">
        <f>'Datu ievade'!AF163*'Kopējie pieņēmumi'!AG10</f>
        <v>145234.31858313357</v>
      </c>
      <c r="AH16" s="524">
        <f>'Datu ievade'!AG163*'Kopējie pieņēmumi'!AH10</f>
        <v>148374.52006601213</v>
      </c>
    </row>
    <row r="17" spans="1:34" x14ac:dyDescent="0.2">
      <c r="A17" s="30" t="s">
        <v>593</v>
      </c>
      <c r="B17" s="524">
        <f>'Datu ievade'!B140</f>
        <v>1918</v>
      </c>
      <c r="C17" s="524">
        <f>'Datu ievade'!B164*'Kopējie pieņēmumi'!C10</f>
        <v>1979.7414263952905</v>
      </c>
      <c r="D17" s="524">
        <f>'Datu ievade'!C164*'Kopējie pieņēmumi'!D10</f>
        <v>2041.1656657399901</v>
      </c>
      <c r="E17" s="524">
        <f>'Datu ievade'!D164*'Kopējie pieņēmumi'!E10</f>
        <v>2084.8086919453508</v>
      </c>
      <c r="F17" s="524">
        <f>'Datu ievade'!E164*'Kopējie pieņēmumi'!F10</f>
        <v>2128.5745906473976</v>
      </c>
      <c r="G17" s="524">
        <f>'Datu ievade'!F164*'Kopējie pieņēmumi'!G10</f>
        <v>2172.5977227655872</v>
      </c>
      <c r="H17" s="524">
        <f>'Datu ievade'!G164*'Kopējie pieņēmumi'!H10</f>
        <v>2211.3941106721149</v>
      </c>
      <c r="I17" s="524">
        <f>'Datu ievade'!H164*'Kopējie pieņēmumi'!I10</f>
        <v>2250.1904985786432</v>
      </c>
      <c r="J17" s="524">
        <f>'Datu ievade'!I164*'Kopējie pieņēmumi'!J10</f>
        <v>2288.9868864851715</v>
      </c>
      <c r="K17" s="524">
        <f>'Datu ievade'!J164*'Kopējie pieņēmumi'!K10</f>
        <v>2327.7832743917002</v>
      </c>
      <c r="L17" s="524">
        <f>'Datu ievade'!K164*'Kopējie pieņēmumi'!L10</f>
        <v>2366.5796622982284</v>
      </c>
      <c r="M17" s="524">
        <f>'Datu ievade'!L164*'Kopējie pieņēmumi'!M10</f>
        <v>2405.3760502047567</v>
      </c>
      <c r="N17" s="524">
        <f>'Datu ievade'!M164*'Kopējie pieņēmumi'!N10</f>
        <v>2444.1724381112849</v>
      </c>
      <c r="O17" s="524">
        <f>'Datu ievade'!N164*'Kopējie pieņēmumi'!O10</f>
        <v>2502.3670199710778</v>
      </c>
      <c r="P17" s="524">
        <f>'Datu ievade'!O164*'Kopējie pieņēmumi'!P10</f>
        <v>2560.5616018308701</v>
      </c>
      <c r="Q17" s="524">
        <f>'Datu ievade'!P164*'Kopējie pieņēmumi'!Q10</f>
        <v>2618.756183690663</v>
      </c>
      <c r="R17" s="524">
        <f>'Datu ievade'!Q164*'Kopējie pieņēmumi'!R10</f>
        <v>2676.9507655504549</v>
      </c>
      <c r="S17" s="524">
        <f>'Datu ievade'!R164*'Kopējie pieņēmumi'!S10</f>
        <v>2735.1453474102473</v>
      </c>
      <c r="T17" s="524">
        <f>'Datu ievade'!S164*'Kopējie pieņēmumi'!T10</f>
        <v>2793.3399292700401</v>
      </c>
      <c r="U17" s="524">
        <f>'Datu ievade'!T164*'Kopējie pieņēmumi'!U10</f>
        <v>2851.5345111298325</v>
      </c>
      <c r="V17" s="524">
        <f>'Datu ievade'!U164*'Kopējie pieņēmumi'!V10</f>
        <v>2909.7290929896253</v>
      </c>
      <c r="W17" s="524">
        <f>'Datu ievade'!V164*'Kopējie pieņēmumi'!W10</f>
        <v>2967.9236748494177</v>
      </c>
      <c r="X17" s="524">
        <f>'Datu ievade'!W164*'Kopējie pieņēmumi'!X10</f>
        <v>3026.1182567092101</v>
      </c>
      <c r="Y17" s="524">
        <f>'Datu ievade'!X164*'Kopējie pieņēmumi'!Y10</f>
        <v>3084.3128385690029</v>
      </c>
      <c r="Z17" s="524">
        <f>'Datu ievade'!Y164*'Kopējie pieņēmumi'!Z10</f>
        <v>3142.5074204287953</v>
      </c>
      <c r="AA17" s="524">
        <f>'Datu ievade'!Z164*'Kopējie pieņēmumi'!AA10</f>
        <v>3200.7020022885872</v>
      </c>
      <c r="AB17" s="524">
        <f>'Datu ievade'!AA164*'Kopējie pieņēmumi'!AB10</f>
        <v>3258.89658414838</v>
      </c>
      <c r="AC17" s="524">
        <f>'Datu ievade'!AB164*'Kopējie pieņēmumi'!AC10</f>
        <v>3317.0911660081724</v>
      </c>
      <c r="AD17" s="524">
        <f>'Datu ievade'!AC164*'Kopējie pieņēmumi'!AD10</f>
        <v>3375.2857478679653</v>
      </c>
      <c r="AE17" s="524">
        <f>'Datu ievade'!AD164*'Kopējie pieņēmumi'!AE10</f>
        <v>3433.4803297277576</v>
      </c>
      <c r="AF17" s="524">
        <f>'Datu ievade'!AE164*'Kopējie pieņēmumi'!AF10</f>
        <v>3511.0731055408146</v>
      </c>
      <c r="AG17" s="524">
        <f>'Datu ievade'!AF164*'Kopējie pieņēmumi'!AG10</f>
        <v>3588.6658813538711</v>
      </c>
      <c r="AH17" s="524">
        <f>'Datu ievade'!AG164*'Kopējie pieņēmumi'!AH10</f>
        <v>3666.2586571669276</v>
      </c>
    </row>
    <row r="18" spans="1:34" x14ac:dyDescent="0.2">
      <c r="A18" s="30" t="s">
        <v>594</v>
      </c>
      <c r="B18" s="524">
        <f>'Datu ievade'!B141</f>
        <v>43614</v>
      </c>
      <c r="C18" s="524">
        <f>'Datu ievade'!B165*'Kopējie pieņēmumi'!C10</f>
        <v>22508.978772368144</v>
      </c>
      <c r="D18" s="524">
        <f>'Datu ievade'!C165*'Kopējie pieņēmumi'!D10</f>
        <v>23207.351237117811</v>
      </c>
      <c r="E18" s="524">
        <f>'Datu ievade'!D165*'Kopējie pieņēmumi'!E10</f>
        <v>23703.557427138825</v>
      </c>
      <c r="F18" s="524">
        <f>'Datu ievade'!E165*'Kopējie pieņēmumi'!F10</f>
        <v>24201.160635165692</v>
      </c>
      <c r="G18" s="524">
        <f>'Datu ievade'!F165*'Kopējie pieņēmumi'!G10</f>
        <v>24701.688498617914</v>
      </c>
      <c r="H18" s="524">
        <f>'Datu ievade'!G165*'Kopējie pieņēmumi'!H10</f>
        <v>25142.790078950373</v>
      </c>
      <c r="I18" s="524">
        <f>'Datu ievade'!H165*'Kopējie pieņēmumi'!I10</f>
        <v>25583.891659282835</v>
      </c>
      <c r="J18" s="524">
        <f>'Datu ievade'!I165*'Kopējie pieņēmumi'!J10</f>
        <v>26024.993239615298</v>
      </c>
      <c r="K18" s="524">
        <f>'Datu ievade'!J165*'Kopējie pieņēmumi'!K10</f>
        <v>26466.094819947761</v>
      </c>
      <c r="L18" s="524">
        <f>'Datu ievade'!K165*'Kopējie pieņēmumi'!L10</f>
        <v>26907.196400280223</v>
      </c>
      <c r="M18" s="524">
        <f>'Datu ievade'!L165*'Kopējie pieņēmumi'!M10</f>
        <v>27348.297980612686</v>
      </c>
      <c r="N18" s="524">
        <f>'Datu ievade'!M165*'Kopējie pieņēmumi'!N10</f>
        <v>27789.399560945149</v>
      </c>
      <c r="O18" s="524">
        <f>'Datu ievade'!N165*'Kopējie pieņēmumi'!O10</f>
        <v>28451.051931443846</v>
      </c>
      <c r="P18" s="524">
        <f>'Datu ievade'!O165*'Kopējie pieņēmumi'!P10</f>
        <v>29112.70430194254</v>
      </c>
      <c r="Q18" s="524">
        <f>'Datu ievade'!P165*'Kopējie pieņēmumi'!Q10</f>
        <v>29774.356672441234</v>
      </c>
      <c r="R18" s="524">
        <f>'Datu ievade'!Q165*'Kopējie pieņēmumi'!R10</f>
        <v>30436.009042939924</v>
      </c>
      <c r="S18" s="524">
        <f>'Datu ievade'!R165*'Kopējie pieņēmumi'!S10</f>
        <v>31097.661413438618</v>
      </c>
      <c r="T18" s="524">
        <f>'Datu ievade'!S165*'Kopējie pieņēmumi'!T10</f>
        <v>31759.313783937312</v>
      </c>
      <c r="U18" s="524">
        <f>'Datu ievade'!T165*'Kopējie pieņēmumi'!U10</f>
        <v>32420.966154436006</v>
      </c>
      <c r="V18" s="524">
        <f>'Datu ievade'!U165*'Kopējie pieņēmumi'!V10</f>
        <v>33082.618524934704</v>
      </c>
      <c r="W18" s="524">
        <f>'Datu ievade'!V165*'Kopējie pieņēmumi'!W10</f>
        <v>33744.270895433394</v>
      </c>
      <c r="X18" s="524">
        <f>'Datu ievade'!W165*'Kopējie pieņēmumi'!X10</f>
        <v>34405.923265932091</v>
      </c>
      <c r="Y18" s="524">
        <f>'Datu ievade'!X165*'Kopējie pieņēmumi'!Y10</f>
        <v>35067.575636430789</v>
      </c>
      <c r="Z18" s="524">
        <f>'Datu ievade'!Y165*'Kopējie pieņēmumi'!Z10</f>
        <v>35729.228006929479</v>
      </c>
      <c r="AA18" s="524">
        <f>'Datu ievade'!Z165*'Kopējie pieņēmumi'!AA10</f>
        <v>36390.88037742817</v>
      </c>
      <c r="AB18" s="524">
        <f>'Datu ievade'!AA165*'Kopējie pieņēmumi'!AB10</f>
        <v>37052.532747926867</v>
      </c>
      <c r="AC18" s="524">
        <f>'Datu ievade'!AB165*'Kopējie pieņēmumi'!AC10</f>
        <v>37714.185118425557</v>
      </c>
      <c r="AD18" s="524">
        <f>'Datu ievade'!AC165*'Kopējie pieņēmumi'!AD10</f>
        <v>38375.837488924255</v>
      </c>
      <c r="AE18" s="524">
        <f>'Datu ievade'!AD165*'Kopējie pieņēmumi'!AE10</f>
        <v>39037.489859422945</v>
      </c>
      <c r="AF18" s="524">
        <f>'Datu ievade'!AE165*'Kopējie pieņēmumi'!AF10</f>
        <v>39919.693020087878</v>
      </c>
      <c r="AG18" s="524">
        <f>'Datu ievade'!AF165*'Kopējie pieņēmumi'!AG10</f>
        <v>40801.896180752803</v>
      </c>
      <c r="AH18" s="524">
        <f>'Datu ievade'!AG165*'Kopējie pieņēmumi'!AH10</f>
        <v>41684.099341417721</v>
      </c>
    </row>
    <row r="19" spans="1:34" ht="25.5" x14ac:dyDescent="0.2">
      <c r="A19" s="30" t="s">
        <v>595</v>
      </c>
      <c r="B19" s="524">
        <f>'Datu ievade'!B142</f>
        <v>19670</v>
      </c>
      <c r="C19" s="524">
        <f>'Datu ievade'!B166*'Kopējie pieņēmumi'!C10</f>
        <v>10151.593810530596</v>
      </c>
      <c r="D19" s="524">
        <f>'Datu ievade'!C166*'Kopējie pieņēmumi'!D10</f>
        <v>10466.561169214181</v>
      </c>
      <c r="E19" s="524">
        <f>'Datu ievade'!D166*'Kopējie pieņēmumi'!E10</f>
        <v>10690.351139354809</v>
      </c>
      <c r="F19" s="524">
        <f>'Datu ievade'!E166*'Kopējie pieņēmumi'!F10</f>
        <v>10914.771167370778</v>
      </c>
      <c r="G19" s="524">
        <f>'Datu ievade'!F166*'Kopējie pieņēmumi'!G10</f>
        <v>11140.510220750546</v>
      </c>
      <c r="H19" s="524">
        <f>'Datu ievade'!G166*'Kopējie pieņēmumi'!H10</f>
        <v>11339.447903263947</v>
      </c>
      <c r="I19" s="524">
        <f>'Datu ievade'!H166*'Kopējie pieņēmumi'!I10</f>
        <v>11538.385585777349</v>
      </c>
      <c r="J19" s="524">
        <f>'Datu ievade'!I166*'Kopējie pieņēmumi'!J10</f>
        <v>11737.323268290751</v>
      </c>
      <c r="K19" s="524">
        <f>'Datu ievade'!J166*'Kopējie pieņēmumi'!K10</f>
        <v>11936.260950804155</v>
      </c>
      <c r="L19" s="524">
        <f>'Datu ievade'!K166*'Kopējie pieņēmumi'!L10</f>
        <v>12135.198633317557</v>
      </c>
      <c r="M19" s="524">
        <f>'Datu ievade'!L166*'Kopējie pieņēmumi'!M10</f>
        <v>12334.13631583096</v>
      </c>
      <c r="N19" s="524">
        <f>'Datu ievade'!M166*'Kopējie pieņēmumi'!N10</f>
        <v>12533.073998344362</v>
      </c>
      <c r="O19" s="524">
        <f>'Datu ievade'!N166*'Kopējie pieņēmumi'!O10</f>
        <v>12831.480522114467</v>
      </c>
      <c r="P19" s="524">
        <f>'Datu ievade'!O166*'Kopējie pieņēmumi'!P10</f>
        <v>13129.88704588457</v>
      </c>
      <c r="Q19" s="524">
        <f>'Datu ievade'!P166*'Kopējie pieņēmumi'!Q10</f>
        <v>13428.293569654676</v>
      </c>
      <c r="R19" s="524">
        <f>'Datu ievade'!Q166*'Kopējie pieņēmumi'!R10</f>
        <v>13726.700093424777</v>
      </c>
      <c r="S19" s="524">
        <f>'Datu ievade'!R166*'Kopējie pieņēmumi'!S10</f>
        <v>14025.106617194881</v>
      </c>
      <c r="T19" s="524">
        <f>'Datu ievade'!S166*'Kopējie pieņēmumi'!T10</f>
        <v>14323.513140964986</v>
      </c>
      <c r="U19" s="524">
        <f>'Datu ievade'!T166*'Kopējie pieņēmumi'!U10</f>
        <v>14621.919664735089</v>
      </c>
      <c r="V19" s="524">
        <f>'Datu ievade'!U166*'Kopējie pieņēmumi'!V10</f>
        <v>14920.326188505194</v>
      </c>
      <c r="W19" s="524">
        <f>'Datu ievade'!V166*'Kopējie pieņēmumi'!W10</f>
        <v>15218.732712275298</v>
      </c>
      <c r="X19" s="524">
        <f>'Datu ievade'!W166*'Kopējie pieņēmumi'!X10</f>
        <v>15517.139236045401</v>
      </c>
      <c r="Y19" s="524">
        <f>'Datu ievade'!X166*'Kopējie pieņēmumi'!Y10</f>
        <v>15815.545759815506</v>
      </c>
      <c r="Z19" s="524">
        <f>'Datu ievade'!Y166*'Kopējie pieņēmumi'!Z10</f>
        <v>16113.95228358561</v>
      </c>
      <c r="AA19" s="524">
        <f>'Datu ievade'!Z166*'Kopējie pieņēmumi'!AA10</f>
        <v>16412.358807355711</v>
      </c>
      <c r="AB19" s="524">
        <f>'Datu ievade'!AA166*'Kopējie pieņēmumi'!AB10</f>
        <v>16710.765331125815</v>
      </c>
      <c r="AC19" s="524">
        <f>'Datu ievade'!AB166*'Kopējie pieņēmumi'!AC10</f>
        <v>17009.171854895922</v>
      </c>
      <c r="AD19" s="524">
        <f>'Datu ievade'!AC166*'Kopējie pieņēmumi'!AD10</f>
        <v>17307.578378666025</v>
      </c>
      <c r="AE19" s="524">
        <f>'Datu ievade'!AD166*'Kopējie pieņēmumi'!AE10</f>
        <v>17605.984902436128</v>
      </c>
      <c r="AF19" s="524">
        <f>'Datu ievade'!AE166*'Kopējie pieņēmumi'!AF10</f>
        <v>18003.860267462933</v>
      </c>
      <c r="AG19" s="524">
        <f>'Datu ievade'!AF166*'Kopējie pieņēmumi'!AG10</f>
        <v>18401.735632489741</v>
      </c>
      <c r="AH19" s="524">
        <f>'Datu ievade'!AG166*'Kopējie pieņēmumi'!AH10</f>
        <v>18799.610997516542</v>
      </c>
    </row>
    <row r="20" spans="1:34" x14ac:dyDescent="0.2">
      <c r="A20" s="523" t="s">
        <v>57</v>
      </c>
      <c r="B20" s="525">
        <f>SUM(B9:B19)</f>
        <v>271292</v>
      </c>
      <c r="C20" s="525">
        <f>SUM(C9:C19)</f>
        <v>223520.58453129799</v>
      </c>
      <c r="D20" s="525">
        <f t="shared" ref="D20:AH20" si="1">SUM(D9:D19)</f>
        <v>230467.55197407768</v>
      </c>
      <c r="E20" s="525">
        <f t="shared" si="1"/>
        <v>235373.645148432</v>
      </c>
      <c r="F20" s="525">
        <f t="shared" si="1"/>
        <v>240337.51415746348</v>
      </c>
      <c r="G20" s="525">
        <f t="shared" si="1"/>
        <v>245327.99515810763</v>
      </c>
      <c r="H20" s="525">
        <f t="shared" si="1"/>
        <v>249708.85221450235</v>
      </c>
      <c r="I20" s="525">
        <f t="shared" si="1"/>
        <v>254089.70927089715</v>
      </c>
      <c r="J20" s="525">
        <f t="shared" si="1"/>
        <v>258470.56632729189</v>
      </c>
      <c r="K20" s="525">
        <f t="shared" si="1"/>
        <v>262851.42338368669</v>
      </c>
      <c r="L20" s="525">
        <f t="shared" si="1"/>
        <v>267232.28044008149</v>
      </c>
      <c r="M20" s="525">
        <f t="shared" si="1"/>
        <v>271613.13749647629</v>
      </c>
      <c r="N20" s="525">
        <f t="shared" si="1"/>
        <v>275993.99455287104</v>
      </c>
      <c r="O20" s="525">
        <f t="shared" si="1"/>
        <v>282565.28013746324</v>
      </c>
      <c r="P20" s="525">
        <f t="shared" si="1"/>
        <v>289136.56572205538</v>
      </c>
      <c r="Q20" s="525">
        <f t="shared" si="1"/>
        <v>295707.85130664753</v>
      </c>
      <c r="R20" s="525">
        <f t="shared" si="1"/>
        <v>376799.13689123967</v>
      </c>
      <c r="S20" s="525">
        <f t="shared" si="1"/>
        <v>384990.42247583187</v>
      </c>
      <c r="T20" s="525">
        <f t="shared" si="1"/>
        <v>393181.70806042396</v>
      </c>
      <c r="U20" s="525">
        <f t="shared" si="1"/>
        <v>401372.99364501622</v>
      </c>
      <c r="V20" s="525">
        <f t="shared" si="1"/>
        <v>424564.27922960836</v>
      </c>
      <c r="W20" s="525">
        <f t="shared" si="1"/>
        <v>433055.56481420057</v>
      </c>
      <c r="X20" s="525">
        <f t="shared" si="1"/>
        <v>441546.85039879265</v>
      </c>
      <c r="Y20" s="525">
        <f t="shared" si="1"/>
        <v>450038.13598338491</v>
      </c>
      <c r="Z20" s="525">
        <f t="shared" si="1"/>
        <v>458529.42156797712</v>
      </c>
      <c r="AA20" s="525">
        <f t="shared" si="1"/>
        <v>467020.70715256914</v>
      </c>
      <c r="AB20" s="525">
        <f t="shared" si="1"/>
        <v>475511.99273716134</v>
      </c>
      <c r="AC20" s="525">
        <f t="shared" si="1"/>
        <v>484003.27832175355</v>
      </c>
      <c r="AD20" s="525">
        <f t="shared" si="1"/>
        <v>492494.56390634575</v>
      </c>
      <c r="AE20" s="525">
        <f t="shared" si="1"/>
        <v>500985.84949093789</v>
      </c>
      <c r="AF20" s="525">
        <f t="shared" si="1"/>
        <v>512307.5636037275</v>
      </c>
      <c r="AG20" s="525">
        <f t="shared" si="1"/>
        <v>523629.27771651698</v>
      </c>
      <c r="AH20" s="525">
        <f t="shared" si="1"/>
        <v>534950.99182930647</v>
      </c>
    </row>
    <row r="21" spans="1:34" x14ac:dyDescent="0.2">
      <c r="A21" s="621"/>
      <c r="B21" s="622"/>
      <c r="C21" s="622"/>
      <c r="D21" s="622"/>
      <c r="E21" s="622"/>
      <c r="F21" s="622"/>
      <c r="G21" s="622"/>
      <c r="H21" s="622"/>
      <c r="I21" s="622"/>
      <c r="J21" s="622"/>
      <c r="K21" s="622"/>
      <c r="L21" s="622"/>
      <c r="M21" s="622"/>
      <c r="N21" s="622"/>
      <c r="O21" s="622"/>
      <c r="P21" s="622"/>
      <c r="Q21" s="622"/>
      <c r="R21" s="622"/>
      <c r="S21" s="622"/>
      <c r="T21" s="622"/>
      <c r="U21" s="622"/>
      <c r="V21" s="622"/>
      <c r="W21" s="622"/>
      <c r="X21" s="622"/>
      <c r="Y21" s="622"/>
      <c r="Z21" s="622"/>
      <c r="AA21" s="622"/>
      <c r="AB21" s="622"/>
      <c r="AC21" s="622"/>
      <c r="AD21" s="622"/>
      <c r="AE21" s="622"/>
      <c r="AF21" s="622"/>
      <c r="AG21" s="622"/>
      <c r="AH21" s="622"/>
    </row>
    <row r="22" spans="1:34" x14ac:dyDescent="0.2">
      <c r="A22" s="621" t="s">
        <v>291</v>
      </c>
      <c r="B22" s="622"/>
      <c r="C22" s="622"/>
      <c r="D22" s="622"/>
      <c r="E22" s="622"/>
      <c r="F22" s="622"/>
      <c r="G22" s="622"/>
      <c r="H22" s="622"/>
      <c r="I22" s="622"/>
      <c r="J22" s="622"/>
      <c r="K22" s="622"/>
      <c r="L22" s="622"/>
      <c r="M22" s="622"/>
      <c r="N22" s="622"/>
      <c r="O22" s="622"/>
      <c r="P22" s="622"/>
      <c r="Q22" s="622"/>
      <c r="R22" s="622"/>
      <c r="S22" s="622"/>
      <c r="T22" s="622"/>
      <c r="U22" s="622"/>
      <c r="V22" s="622"/>
      <c r="W22" s="622"/>
      <c r="X22" s="622"/>
      <c r="Y22" s="622"/>
      <c r="Z22" s="622"/>
      <c r="AA22" s="622"/>
      <c r="AB22" s="622"/>
      <c r="AC22" s="622"/>
      <c r="AD22" s="622"/>
      <c r="AE22" s="622"/>
      <c r="AF22" s="622"/>
      <c r="AG22" s="622"/>
      <c r="AH22" s="622"/>
    </row>
    <row r="23" spans="1:34" x14ac:dyDescent="0.2">
      <c r="A23" s="621" t="s">
        <v>299</v>
      </c>
      <c r="B23" s="622"/>
      <c r="C23" s="622"/>
      <c r="D23" s="622"/>
      <c r="E23" s="622"/>
      <c r="F23" s="622"/>
      <c r="G23" s="622"/>
      <c r="H23" s="622"/>
      <c r="I23" s="622"/>
      <c r="J23" s="622"/>
      <c r="K23" s="622"/>
      <c r="L23" s="622"/>
      <c r="M23" s="622"/>
      <c r="N23" s="622"/>
      <c r="O23" s="622"/>
      <c r="P23" s="622"/>
      <c r="Q23" s="622"/>
      <c r="R23" s="622"/>
      <c r="S23" s="622"/>
      <c r="T23" s="622"/>
      <c r="U23" s="622"/>
      <c r="V23" s="622"/>
      <c r="W23" s="622"/>
      <c r="X23" s="622"/>
      <c r="Y23" s="622"/>
      <c r="Z23" s="622"/>
      <c r="AA23" s="622"/>
      <c r="AB23" s="622"/>
      <c r="AC23" s="622"/>
      <c r="AD23" s="622"/>
      <c r="AE23" s="622"/>
      <c r="AF23" s="622"/>
      <c r="AG23" s="622"/>
      <c r="AH23" s="622"/>
    </row>
    <row r="24" spans="1:34" x14ac:dyDescent="0.2">
      <c r="A24" s="30" t="s">
        <v>596</v>
      </c>
      <c r="B24" s="524">
        <f>'Datu ievade'!B133</f>
        <v>107237</v>
      </c>
      <c r="C24" s="524">
        <f>'Datu ievade'!B157*'Kopējie pieņēmumi'!C12</f>
        <v>110454.11</v>
      </c>
      <c r="D24" s="524">
        <f>'Datu ievade'!C157*'Kopējie pieņēmumi'!D12</f>
        <v>113671.22</v>
      </c>
      <c r="E24" s="524">
        <f>'Datu ievade'!D157*'Kopējie pieņēmumi'!E12</f>
        <v>115815.96</v>
      </c>
      <c r="F24" s="524">
        <f>'Datu ievade'!E157*'Kopējie pieņēmumi'!F12</f>
        <v>117960.70000000001</v>
      </c>
      <c r="G24" s="524">
        <f>'Datu ievade'!F157*'Kopējie pieņēmumi'!G12</f>
        <v>120105.44000000002</v>
      </c>
      <c r="H24" s="524">
        <f>'Datu ievade'!G157*'Kopējie pieņēmumi'!H12</f>
        <v>122250.18</v>
      </c>
      <c r="I24" s="524">
        <f>'Datu ievade'!H157*'Kopējie pieņēmumi'!I12</f>
        <v>124394.92</v>
      </c>
      <c r="J24" s="524">
        <f>'Datu ievade'!I157*'Kopējie pieņēmumi'!J12</f>
        <v>126539.65999999999</v>
      </c>
      <c r="K24" s="524">
        <f>'Datu ievade'!J157*'Kopējie pieņēmumi'!K12</f>
        <v>128684.4</v>
      </c>
      <c r="L24" s="524">
        <f>'Datu ievade'!K157*'Kopējie pieņēmumi'!L12</f>
        <v>131901.51</v>
      </c>
      <c r="M24" s="524">
        <f>'Datu ievade'!L157*'Kopējie pieņēmumi'!M12</f>
        <v>135118.62</v>
      </c>
      <c r="N24" s="524">
        <f>'Datu ievade'!M157*'Kopējie pieņēmumi'!N12</f>
        <v>138335.73000000001</v>
      </c>
      <c r="O24" s="524">
        <f>'Datu ievade'!N157*'Kopējie pieņēmumi'!O12</f>
        <v>141552.84</v>
      </c>
      <c r="P24" s="524">
        <f>'Datu ievade'!O157*'Kopējie pieņēmumi'!P12</f>
        <v>144769.95000000001</v>
      </c>
      <c r="Q24" s="524">
        <f>'Datu ievade'!P157*'Kopējie pieņēmumi'!Q12</f>
        <v>147987.06</v>
      </c>
      <c r="R24" s="524">
        <f>'Datu ievade'!Q157*'Kopējie pieņēmumi'!R12</f>
        <v>151204.16999999998</v>
      </c>
      <c r="S24" s="524">
        <f>'Datu ievade'!R157*'Kopējie pieņēmumi'!S12</f>
        <v>154421.28</v>
      </c>
      <c r="T24" s="524">
        <f>'Datu ievade'!S157*'Kopējie pieņēmumi'!T12</f>
        <v>157638.38999999998</v>
      </c>
      <c r="U24" s="524">
        <f>'Datu ievade'!T157*'Kopējie pieņēmumi'!U12</f>
        <v>160855.5</v>
      </c>
      <c r="V24" s="524">
        <f>'Datu ievade'!U157*'Kopējie pieņēmumi'!V12</f>
        <v>164072.61000000002</v>
      </c>
      <c r="W24" s="524">
        <f>'Datu ievade'!V157*'Kopējie pieņēmumi'!W12</f>
        <v>167289.72</v>
      </c>
      <c r="X24" s="524">
        <f>'Datu ievade'!W157*'Kopējie pieņēmumi'!X12</f>
        <v>170506.83000000002</v>
      </c>
      <c r="Y24" s="524">
        <f>'Datu ievade'!X157*'Kopējie pieņēmumi'!Y12</f>
        <v>173723.94</v>
      </c>
      <c r="Z24" s="524">
        <f>'Datu ievade'!Y157*'Kopējie pieņēmumi'!Z12</f>
        <v>176941.05</v>
      </c>
      <c r="AA24" s="524">
        <f>'Datu ievade'!Z157*'Kopējie pieņēmumi'!AA12</f>
        <v>180158.16</v>
      </c>
      <c r="AB24" s="524">
        <f>'Datu ievade'!AA157*'Kopējie pieņēmumi'!AB12</f>
        <v>184447.63999999998</v>
      </c>
      <c r="AC24" s="524">
        <f>'Datu ievade'!AB157*'Kopējie pieņēmumi'!AC12</f>
        <v>188737.12</v>
      </c>
      <c r="AD24" s="524">
        <f>'Datu ievade'!AC157*'Kopējie pieņēmumi'!AD12</f>
        <v>193026.6</v>
      </c>
      <c r="AE24" s="524">
        <f>'Datu ievade'!AD157*'Kopējie pieņēmumi'!AE12</f>
        <v>197316.08000000002</v>
      </c>
      <c r="AF24" s="524">
        <f>'Datu ievade'!AE157*'Kopējie pieņēmumi'!AF12</f>
        <v>201605.56</v>
      </c>
      <c r="AG24" s="524">
        <f>'Datu ievade'!AF157*'Kopējie pieņēmumi'!AG12</f>
        <v>205895.03999999998</v>
      </c>
      <c r="AH24" s="524">
        <f>'Datu ievade'!AG157*'Kopējie pieņēmumi'!AH12</f>
        <v>210184.52</v>
      </c>
    </row>
    <row r="25" spans="1:34" x14ac:dyDescent="0.2">
      <c r="A25" s="30" t="s">
        <v>379</v>
      </c>
      <c r="B25" s="524">
        <f>'Datu ievade'!B134</f>
        <v>25833.3933</v>
      </c>
      <c r="C25" s="524">
        <f>C24*'Kopējie pieņēmumi'!C16</f>
        <v>26608.395099000001</v>
      </c>
      <c r="D25" s="524">
        <f>D24*'Kopējie pieņēmumi'!D16</f>
        <v>27383.396897999999</v>
      </c>
      <c r="E25" s="524">
        <f>E24*'Kopējie pieņēmumi'!E16</f>
        <v>27900.064764000002</v>
      </c>
      <c r="F25" s="524">
        <f>F24*'Kopējie pieņēmumi'!F16</f>
        <v>28416.732630000002</v>
      </c>
      <c r="G25" s="524">
        <f>G24*'Kopējie pieņēmumi'!G16</f>
        <v>28933.400496000006</v>
      </c>
      <c r="H25" s="524">
        <f>H24*'Kopējie pieņēmumi'!H16</f>
        <v>29450.068361999998</v>
      </c>
      <c r="I25" s="524">
        <f>I24*'Kopējie pieņēmumi'!I16</f>
        <v>29966.736228000002</v>
      </c>
      <c r="J25" s="524">
        <f>J24*'Kopējie pieņēmumi'!J16</f>
        <v>30483.404093999998</v>
      </c>
      <c r="K25" s="524">
        <f>K24*'Kopējie pieņēmumi'!K16</f>
        <v>31000.071959999997</v>
      </c>
      <c r="L25" s="524">
        <f>L24*'Kopējie pieņēmumi'!L16</f>
        <v>31775.073759000003</v>
      </c>
      <c r="M25" s="524">
        <f>M24*'Kopējie pieņēmumi'!M16</f>
        <v>32550.075558</v>
      </c>
      <c r="N25" s="524">
        <f>N24*'Kopējie pieņēmumi'!N16</f>
        <v>33325.077357000002</v>
      </c>
      <c r="O25" s="524">
        <f>O24*'Kopējie pieņēmumi'!O16</f>
        <v>34100.079156</v>
      </c>
      <c r="P25" s="524">
        <f>P24*'Kopējie pieņēmumi'!P16</f>
        <v>34875.080955000005</v>
      </c>
      <c r="Q25" s="524">
        <f>Q24*'Kopējie pieņēmumi'!Q16</f>
        <v>35650.082754000003</v>
      </c>
      <c r="R25" s="524">
        <f>R24*'Kopējie pieņēmumi'!R16</f>
        <v>36425.084552999993</v>
      </c>
      <c r="S25" s="524">
        <f>S24*'Kopējie pieņēmumi'!S16</f>
        <v>37200.086351999998</v>
      </c>
      <c r="T25" s="524">
        <f>T24*'Kopējie pieņēmumi'!T16</f>
        <v>37975.088150999996</v>
      </c>
      <c r="U25" s="524">
        <f>U24*'Kopējie pieņēmumi'!U16</f>
        <v>38750.089950000001</v>
      </c>
      <c r="V25" s="524">
        <f>V24*'Kopējie pieņēmumi'!V16</f>
        <v>39525.091749000007</v>
      </c>
      <c r="W25" s="524">
        <f>W24*'Kopējie pieņēmumi'!W16</f>
        <v>40300.093548000004</v>
      </c>
      <c r="X25" s="524">
        <f>X24*'Kopējie pieņēmumi'!X16</f>
        <v>41075.095347000002</v>
      </c>
      <c r="Y25" s="524">
        <f>Y24*'Kopējie pieņēmumi'!Y16</f>
        <v>41850.097146</v>
      </c>
      <c r="Z25" s="524">
        <f>Z24*'Kopējie pieņēmumi'!Z16</f>
        <v>42625.098944999998</v>
      </c>
      <c r="AA25" s="524">
        <f>AA24*'Kopējie pieņēmumi'!AA16</f>
        <v>43400.100744000003</v>
      </c>
      <c r="AB25" s="524">
        <f>AB24*'Kopējie pieņēmumi'!AB16</f>
        <v>44433.436475999995</v>
      </c>
      <c r="AC25" s="524">
        <f>AC24*'Kopējie pieņēmumi'!AC16</f>
        <v>45466.772208000002</v>
      </c>
      <c r="AD25" s="524">
        <f>AD24*'Kopējie pieņēmumi'!AD16</f>
        <v>46500.107940000002</v>
      </c>
      <c r="AE25" s="524">
        <f>AE24*'Kopējie pieņēmumi'!AE16</f>
        <v>47533.443672000001</v>
      </c>
      <c r="AF25" s="524">
        <f>AF24*'Kopējie pieņēmumi'!AF16</f>
        <v>48566.779404000001</v>
      </c>
      <c r="AG25" s="524">
        <f>AG24*'Kopējie pieņēmumi'!AG16</f>
        <v>49600.115135999993</v>
      </c>
      <c r="AH25" s="524">
        <f>AH24*'Kopējie pieņēmumi'!AH16</f>
        <v>50633.450868</v>
      </c>
    </row>
    <row r="26" spans="1:34" x14ac:dyDescent="0.2">
      <c r="A26" s="30" t="s">
        <v>597</v>
      </c>
      <c r="B26" s="524">
        <f>'Datu ievade'!B135</f>
        <v>956</v>
      </c>
      <c r="C26" s="524">
        <f>'Datu ievade'!B159*'Kopējie pieņēmumi'!C10</f>
        <v>984.68000000000006</v>
      </c>
      <c r="D26" s="524">
        <f>'Datu ievade'!C159*'Kopējie pieņēmumi'!D10</f>
        <v>1013.36</v>
      </c>
      <c r="E26" s="524">
        <f>'Datu ievade'!D159*'Kopējie pieņēmumi'!E10</f>
        <v>1032.48</v>
      </c>
      <c r="F26" s="524">
        <f>'Datu ievade'!E159*'Kopējie pieņēmumi'!F10</f>
        <v>1051.6000000000001</v>
      </c>
      <c r="G26" s="524">
        <f>'Datu ievade'!F159*'Kopējie pieņēmumi'!G10</f>
        <v>1070.72</v>
      </c>
      <c r="H26" s="524">
        <f>'Datu ievade'!G159*'Kopējie pieņēmumi'!H10</f>
        <v>1089.8399999999999</v>
      </c>
      <c r="I26" s="524">
        <f>'Datu ievade'!H159*'Kopējie pieņēmumi'!I10</f>
        <v>1108.96</v>
      </c>
      <c r="J26" s="524">
        <f>'Datu ievade'!I159*'Kopējie pieņēmumi'!J10</f>
        <v>1128.08</v>
      </c>
      <c r="K26" s="524">
        <f>'Datu ievade'!J159*'Kopējie pieņēmumi'!K10</f>
        <v>1147.2</v>
      </c>
      <c r="L26" s="524">
        <f>'Datu ievade'!K159*'Kopējie pieņēmumi'!L10</f>
        <v>1166.32</v>
      </c>
      <c r="M26" s="524">
        <f>'Datu ievade'!L159*'Kopējie pieņēmumi'!M10</f>
        <v>1185.44</v>
      </c>
      <c r="N26" s="524">
        <f>'Datu ievade'!M159*'Kopējie pieņēmumi'!N10</f>
        <v>1204.56</v>
      </c>
      <c r="O26" s="524">
        <f>'Datu ievade'!N159*'Kopējie pieņēmumi'!O10</f>
        <v>1233.24</v>
      </c>
      <c r="P26" s="524">
        <f>'Datu ievade'!O159*'Kopējie pieņēmumi'!P10</f>
        <v>1261.92</v>
      </c>
      <c r="Q26" s="524">
        <f>'Datu ievade'!P159*'Kopējie pieņēmumi'!Q10</f>
        <v>1290.6000000000001</v>
      </c>
      <c r="R26" s="524">
        <f>'Datu ievade'!Q159*'Kopējie pieņēmumi'!R10</f>
        <v>1319.28</v>
      </c>
      <c r="S26" s="524">
        <f>'Datu ievade'!R159*'Kopējie pieņēmumi'!S10</f>
        <v>1347.96</v>
      </c>
      <c r="T26" s="524">
        <f>'Datu ievade'!S159*'Kopējie pieņēmumi'!T10</f>
        <v>1376.6399999999999</v>
      </c>
      <c r="U26" s="524">
        <f>'Datu ievade'!T159*'Kopējie pieņēmumi'!U10</f>
        <v>1405.32</v>
      </c>
      <c r="V26" s="524">
        <f>'Datu ievade'!U159*'Kopējie pieņēmumi'!V10</f>
        <v>1434</v>
      </c>
      <c r="W26" s="524">
        <f>'Datu ievade'!V159*'Kopējie pieņēmumi'!W10</f>
        <v>1462.68</v>
      </c>
      <c r="X26" s="524">
        <f>'Datu ievade'!W159*'Kopējie pieņēmumi'!X10</f>
        <v>1491.3600000000001</v>
      </c>
      <c r="Y26" s="524">
        <f>'Datu ievade'!X159*'Kopējie pieņēmumi'!Y10</f>
        <v>1520.04</v>
      </c>
      <c r="Z26" s="524">
        <f>'Datu ievade'!Y159*'Kopējie pieņēmumi'!Z10</f>
        <v>1548.72</v>
      </c>
      <c r="AA26" s="524">
        <f>'Datu ievade'!Z159*'Kopējie pieņēmumi'!AA10</f>
        <v>1577.3999999999999</v>
      </c>
      <c r="AB26" s="524">
        <f>'Datu ievade'!AA159*'Kopējie pieņēmumi'!AB10</f>
        <v>1606.08</v>
      </c>
      <c r="AC26" s="524">
        <f>'Datu ievade'!AB159*'Kopējie pieņēmumi'!AC10</f>
        <v>1634.76</v>
      </c>
      <c r="AD26" s="524">
        <f>'Datu ievade'!AC159*'Kopējie pieņēmumi'!AD10</f>
        <v>1663.44</v>
      </c>
      <c r="AE26" s="524">
        <f>'Datu ievade'!AD159*'Kopējie pieņēmumi'!AE10</f>
        <v>1692.1200000000001</v>
      </c>
      <c r="AF26" s="524">
        <f>'Datu ievade'!AE159*'Kopējie pieņēmumi'!AF10</f>
        <v>1730.3600000000001</v>
      </c>
      <c r="AG26" s="524">
        <f>'Datu ievade'!AF159*'Kopējie pieņēmumi'!AG10</f>
        <v>1768.6000000000001</v>
      </c>
      <c r="AH26" s="524">
        <f>'Datu ievade'!AG159*'Kopējie pieņēmumi'!AH10</f>
        <v>1806.84</v>
      </c>
    </row>
    <row r="27" spans="1:34" x14ac:dyDescent="0.2">
      <c r="A27" s="621" t="s">
        <v>295</v>
      </c>
      <c r="B27" s="622"/>
      <c r="C27" s="622"/>
      <c r="D27" s="622"/>
      <c r="E27" s="622"/>
      <c r="F27" s="622"/>
      <c r="G27" s="622"/>
      <c r="H27" s="622"/>
      <c r="I27" s="622"/>
      <c r="J27" s="622"/>
      <c r="K27" s="622"/>
      <c r="L27" s="622"/>
      <c r="M27" s="622"/>
      <c r="N27" s="622"/>
      <c r="O27" s="622"/>
      <c r="P27" s="622"/>
      <c r="Q27" s="622"/>
      <c r="R27" s="622"/>
      <c r="S27" s="622"/>
      <c r="T27" s="622"/>
      <c r="U27" s="622"/>
      <c r="V27" s="622"/>
      <c r="W27" s="622"/>
      <c r="X27" s="622"/>
      <c r="Y27" s="622"/>
      <c r="Z27" s="622"/>
      <c r="AA27" s="622"/>
      <c r="AB27" s="622"/>
      <c r="AC27" s="622"/>
      <c r="AD27" s="622"/>
      <c r="AE27" s="622"/>
      <c r="AF27" s="622"/>
      <c r="AG27" s="622"/>
      <c r="AH27" s="622"/>
    </row>
    <row r="28" spans="1:34" x14ac:dyDescent="0.2">
      <c r="A28" s="30" t="s">
        <v>596</v>
      </c>
      <c r="B28" s="524">
        <f>'Datu ievade'!B144</f>
        <v>178227</v>
      </c>
      <c r="C28" s="524">
        <f>'Datu ievade'!B168*'Kopējie pieņēmumi'!C10</f>
        <v>183573.81</v>
      </c>
      <c r="D28" s="524">
        <f>'Datu ievade'!C168*'Kopējie pieņēmumi'!D10</f>
        <v>188920.62</v>
      </c>
      <c r="E28" s="524">
        <f>'Datu ievade'!D168*'Kopējie pieņēmumi'!E10</f>
        <v>192485.16</v>
      </c>
      <c r="F28" s="524">
        <f>'Datu ievade'!E168*'Kopējie pieņēmumi'!F10</f>
        <v>196049.7</v>
      </c>
      <c r="G28" s="524">
        <f>'Datu ievade'!F168*'Kopējie pieņēmumi'!G10</f>
        <v>199614.24000000002</v>
      </c>
      <c r="H28" s="524">
        <f>'Datu ievade'!G168*'Kopējie pieņēmumi'!H10</f>
        <v>203178.77999999997</v>
      </c>
      <c r="I28" s="524">
        <f>'Datu ievade'!H168*'Kopējie pieņēmumi'!I10</f>
        <v>206743.31999999998</v>
      </c>
      <c r="J28" s="524">
        <f>'Datu ievade'!I168*'Kopējie pieņēmumi'!J10</f>
        <v>210307.86</v>
      </c>
      <c r="K28" s="524">
        <f>'Datu ievade'!J168*'Kopējie pieņēmumi'!K10</f>
        <v>213872.4</v>
      </c>
      <c r="L28" s="524">
        <f>'Datu ievade'!K168*'Kopējie pieņēmumi'!L10</f>
        <v>217436.94</v>
      </c>
      <c r="M28" s="524">
        <f>'Datu ievade'!L168*'Kopējie pieņēmumi'!M10</f>
        <v>221001.48</v>
      </c>
      <c r="N28" s="524">
        <f>'Datu ievade'!M168*'Kopējie pieņēmumi'!N10</f>
        <v>224566.02</v>
      </c>
      <c r="O28" s="524">
        <f>'Datu ievade'!N168*'Kopējie pieņēmumi'!O10</f>
        <v>229912.83000000002</v>
      </c>
      <c r="P28" s="524">
        <f>'Datu ievade'!O168*'Kopējie pieņēmumi'!P10</f>
        <v>235259.64</v>
      </c>
      <c r="Q28" s="524">
        <f>'Datu ievade'!P168*'Kopējie pieņēmumi'!Q10</f>
        <v>240606.45</v>
      </c>
      <c r="R28" s="524">
        <f>'Datu ievade'!Q168*'Kopējie pieņēmumi'!R10</f>
        <v>245953.25999999998</v>
      </c>
      <c r="S28" s="524">
        <f>'Datu ievade'!R168*'Kopējie pieņēmumi'!S10</f>
        <v>251300.06999999998</v>
      </c>
      <c r="T28" s="524">
        <f>'Datu ievade'!S168*'Kopējie pieņēmumi'!T10</f>
        <v>256646.88</v>
      </c>
      <c r="U28" s="524">
        <f>'Datu ievade'!T168*'Kopējie pieņēmumi'!U10</f>
        <v>261993.69</v>
      </c>
      <c r="V28" s="524">
        <f>'Datu ievade'!U168*'Kopējie pieņēmumi'!V10</f>
        <v>267340.5</v>
      </c>
      <c r="W28" s="524">
        <f>'Datu ievade'!V168*'Kopējie pieņēmumi'!W10</f>
        <v>272687.31</v>
      </c>
      <c r="X28" s="524">
        <f>'Datu ievade'!W168*'Kopējie pieņēmumi'!X10</f>
        <v>278034.12</v>
      </c>
      <c r="Y28" s="524">
        <f>'Datu ievade'!X168*'Kopējie pieņēmumi'!Y10</f>
        <v>283380.93</v>
      </c>
      <c r="Z28" s="524">
        <f>'Datu ievade'!Y168*'Kopējie pieņēmumi'!Z10</f>
        <v>288727.74</v>
      </c>
      <c r="AA28" s="524">
        <f>'Datu ievade'!Z168*'Kopējie pieņēmumi'!AA10</f>
        <v>294074.55</v>
      </c>
      <c r="AB28" s="524">
        <f>'Datu ievade'!AA168*'Kopējie pieņēmumi'!AB10</f>
        <v>299421.36</v>
      </c>
      <c r="AC28" s="524">
        <f>'Datu ievade'!AB168*'Kopējie pieņēmumi'!AC10</f>
        <v>304768.17</v>
      </c>
      <c r="AD28" s="524">
        <f>'Datu ievade'!AC168*'Kopējie pieņēmumi'!AD10</f>
        <v>310114.98</v>
      </c>
      <c r="AE28" s="524">
        <f>'Datu ievade'!AD168*'Kopējie pieņēmumi'!AE10</f>
        <v>315461.78999999998</v>
      </c>
      <c r="AF28" s="524">
        <f>'Datu ievade'!AE168*'Kopējie pieņēmumi'!AF10</f>
        <v>322590.87</v>
      </c>
      <c r="AG28" s="524">
        <f>'Datu ievade'!AF168*'Kopējie pieņēmumi'!AG10</f>
        <v>329719.95</v>
      </c>
      <c r="AH28" s="524">
        <f>'Datu ievade'!AG168*'Kopējie pieņēmumi'!AH10</f>
        <v>336849.02999999997</v>
      </c>
    </row>
    <row r="29" spans="1:34" x14ac:dyDescent="0.2">
      <c r="A29" s="30" t="s">
        <v>379</v>
      </c>
      <c r="B29" s="524">
        <f>'Datu ievade'!B145</f>
        <v>42934.884299999998</v>
      </c>
      <c r="C29" s="524">
        <f>C28*'Kopējie pieņēmumi'!C16</f>
        <v>44222.930828999997</v>
      </c>
      <c r="D29" s="524">
        <f>D28*'Kopējie pieņēmumi'!D16</f>
        <v>45510.977357999996</v>
      </c>
      <c r="E29" s="524">
        <f>E28*'Kopējie pieņēmumi'!E16</f>
        <v>46369.675044000003</v>
      </c>
      <c r="F29" s="524">
        <f>F28*'Kopējie pieņēmumi'!F16</f>
        <v>47228.372730000003</v>
      </c>
      <c r="G29" s="524">
        <f>G28*'Kopējie pieņēmumi'!G16</f>
        <v>48087.070416000002</v>
      </c>
      <c r="H29" s="524">
        <f>H28*'Kopējie pieņēmumi'!H16</f>
        <v>48945.768101999995</v>
      </c>
      <c r="I29" s="524">
        <f>I28*'Kopējie pieņēmumi'!I16</f>
        <v>49804.465787999994</v>
      </c>
      <c r="J29" s="524">
        <f>J28*'Kopējie pieņēmumi'!J16</f>
        <v>50663.163474000001</v>
      </c>
      <c r="K29" s="524">
        <f>K28*'Kopējie pieņēmumi'!K16</f>
        <v>51521.86116</v>
      </c>
      <c r="L29" s="524">
        <f>L28*'Kopējie pieņēmumi'!L16</f>
        <v>52380.558846</v>
      </c>
      <c r="M29" s="524">
        <f>M28*'Kopējie pieņēmumi'!M16</f>
        <v>53239.256532000007</v>
      </c>
      <c r="N29" s="524">
        <f>N28*'Kopējie pieņēmumi'!N16</f>
        <v>54097.954217999999</v>
      </c>
      <c r="O29" s="524">
        <f>O28*'Kopējie pieņēmumi'!O16</f>
        <v>55386.000747000006</v>
      </c>
      <c r="P29" s="524">
        <f>P28*'Kopējie pieņēmumi'!P16</f>
        <v>56674.047276000005</v>
      </c>
      <c r="Q29" s="524">
        <f>Q28*'Kopējie pieņēmumi'!Q16</f>
        <v>57962.093805000004</v>
      </c>
      <c r="R29" s="524">
        <f>R28*'Kopējie pieņēmumi'!R16</f>
        <v>59250.140333999996</v>
      </c>
      <c r="S29" s="524">
        <f>S28*'Kopējie pieņēmumi'!S16</f>
        <v>60538.186862999995</v>
      </c>
      <c r="T29" s="524">
        <f>T28*'Kopējie pieņēmumi'!T16</f>
        <v>61826.233392000002</v>
      </c>
      <c r="U29" s="524">
        <f>U28*'Kopējie pieņēmumi'!U16</f>
        <v>63114.279921000001</v>
      </c>
      <c r="V29" s="524">
        <f>V28*'Kopējie pieņēmumi'!V16</f>
        <v>64402.32645</v>
      </c>
      <c r="W29" s="524">
        <f>W28*'Kopējie pieņēmumi'!W16</f>
        <v>65690.372979000007</v>
      </c>
      <c r="X29" s="524">
        <f>X28*'Kopējie pieņēmumi'!X16</f>
        <v>66978.419508000006</v>
      </c>
      <c r="Y29" s="524">
        <f>Y28*'Kopējie pieņēmumi'!Y16</f>
        <v>68266.466037000006</v>
      </c>
      <c r="Z29" s="524">
        <f>Z28*'Kopējie pieņēmumi'!Z16</f>
        <v>69554.512566000005</v>
      </c>
      <c r="AA29" s="524">
        <f>AA28*'Kopējie pieņēmumi'!AA16</f>
        <v>70842.559095000004</v>
      </c>
      <c r="AB29" s="524">
        <f>AB28*'Kopējie pieņēmumi'!AB16</f>
        <v>72130.605624000003</v>
      </c>
      <c r="AC29" s="524">
        <f>AC28*'Kopējie pieņēmumi'!AC16</f>
        <v>73418.652153000003</v>
      </c>
      <c r="AD29" s="524">
        <f>AD28*'Kopējie pieņēmumi'!AD16</f>
        <v>74706.698682000002</v>
      </c>
      <c r="AE29" s="524">
        <f>AE28*'Kopējie pieņēmumi'!AE16</f>
        <v>75994.745211000001</v>
      </c>
      <c r="AF29" s="524">
        <f>AF28*'Kopējie pieņēmumi'!AF16</f>
        <v>77712.140583</v>
      </c>
      <c r="AG29" s="524">
        <f>AG28*'Kopējie pieņēmumi'!AG16</f>
        <v>79429.535954999999</v>
      </c>
      <c r="AH29" s="524">
        <f>AH28*'Kopējie pieņēmumi'!AH16</f>
        <v>81146.931326999998</v>
      </c>
    </row>
    <row r="30" spans="1:34" x14ac:dyDescent="0.2">
      <c r="A30" s="30" t="s">
        <v>597</v>
      </c>
      <c r="B30" s="524">
        <f>'Datu ievade'!B146</f>
        <v>1030</v>
      </c>
      <c r="C30" s="524">
        <f>'Datu ievade'!B170*'Kopējie pieņēmumi'!C10</f>
        <v>1060.9000000000001</v>
      </c>
      <c r="D30" s="524">
        <f>'Datu ievade'!C170*'Kopējie pieņēmumi'!D10</f>
        <v>1091.8</v>
      </c>
      <c r="E30" s="524">
        <f>'Datu ievade'!D170*'Kopējie pieņēmumi'!E10</f>
        <v>1112.4000000000001</v>
      </c>
      <c r="F30" s="524">
        <f>'Datu ievade'!E170*'Kopējie pieņēmumi'!F10</f>
        <v>1133</v>
      </c>
      <c r="G30" s="524">
        <f>'Datu ievade'!F170*'Kopējie pieņēmumi'!G10</f>
        <v>1153.6000000000001</v>
      </c>
      <c r="H30" s="524">
        <f>'Datu ievade'!G170*'Kopējie pieņēmumi'!H10</f>
        <v>1174.1999999999998</v>
      </c>
      <c r="I30" s="524">
        <f>'Datu ievade'!H170*'Kopējie pieņēmumi'!I10</f>
        <v>1194.8</v>
      </c>
      <c r="J30" s="524">
        <f>'Datu ievade'!I170*'Kopējie pieņēmumi'!J10</f>
        <v>1215.3999999999999</v>
      </c>
      <c r="K30" s="524">
        <f>'Datu ievade'!J170*'Kopējie pieņēmumi'!K10</f>
        <v>1236</v>
      </c>
      <c r="L30" s="524">
        <f>'Datu ievade'!K170*'Kopējie pieņēmumi'!L10</f>
        <v>1256.5999999999999</v>
      </c>
      <c r="M30" s="524">
        <f>'Datu ievade'!L170*'Kopējie pieņēmumi'!M10</f>
        <v>1277.2</v>
      </c>
      <c r="N30" s="524">
        <f>'Datu ievade'!M170*'Kopējie pieņēmumi'!N10</f>
        <v>1297.8</v>
      </c>
      <c r="O30" s="524">
        <f>'Datu ievade'!N170*'Kopējie pieņēmumi'!O10</f>
        <v>1328.7</v>
      </c>
      <c r="P30" s="524">
        <f>'Datu ievade'!O170*'Kopējie pieņēmumi'!P10</f>
        <v>1359.6000000000001</v>
      </c>
      <c r="Q30" s="524">
        <f>'Datu ievade'!P170*'Kopējie pieņēmumi'!Q10</f>
        <v>1390.5</v>
      </c>
      <c r="R30" s="524">
        <f>'Datu ievade'!Q170*'Kopējie pieņēmumi'!R10</f>
        <v>1421.3999999999999</v>
      </c>
      <c r="S30" s="524">
        <f>'Datu ievade'!R170*'Kopējie pieņēmumi'!S10</f>
        <v>1452.3</v>
      </c>
      <c r="T30" s="524">
        <f>'Datu ievade'!S170*'Kopējie pieņēmumi'!T10</f>
        <v>1483.2</v>
      </c>
      <c r="U30" s="524">
        <f>'Datu ievade'!T170*'Kopējie pieņēmumi'!U10</f>
        <v>1514.1</v>
      </c>
      <c r="V30" s="524">
        <f>'Datu ievade'!U170*'Kopējie pieņēmumi'!V10</f>
        <v>1545</v>
      </c>
      <c r="W30" s="524">
        <f>'Datu ievade'!V170*'Kopējie pieņēmumi'!W10</f>
        <v>1575.9</v>
      </c>
      <c r="X30" s="524">
        <f>'Datu ievade'!W170*'Kopējie pieņēmumi'!X10</f>
        <v>1606.8</v>
      </c>
      <c r="Y30" s="524">
        <f>'Datu ievade'!X170*'Kopējie pieņēmumi'!Y10</f>
        <v>1637.7</v>
      </c>
      <c r="Z30" s="524">
        <f>'Datu ievade'!Y170*'Kopējie pieņēmumi'!Z10</f>
        <v>1668.6000000000001</v>
      </c>
      <c r="AA30" s="524">
        <f>'Datu ievade'!Z170*'Kopējie pieņēmumi'!AA10</f>
        <v>1699.5</v>
      </c>
      <c r="AB30" s="524">
        <f>'Datu ievade'!AA170*'Kopējie pieņēmumi'!AB10</f>
        <v>1730.3999999999999</v>
      </c>
      <c r="AC30" s="524">
        <f>'Datu ievade'!AB170*'Kopējie pieņēmumi'!AC10</f>
        <v>1761.3</v>
      </c>
      <c r="AD30" s="524">
        <f>'Datu ievade'!AC170*'Kopējie pieņēmumi'!AD10</f>
        <v>1792.2</v>
      </c>
      <c r="AE30" s="524">
        <f>'Datu ievade'!AD170*'Kopējie pieņēmumi'!AE10</f>
        <v>1823.1</v>
      </c>
      <c r="AF30" s="524">
        <f>'Datu ievade'!AE170*'Kopējie pieņēmumi'!AF10</f>
        <v>1864.3</v>
      </c>
      <c r="AG30" s="524">
        <f>'Datu ievade'!AF170*'Kopējie pieņēmumi'!AG10</f>
        <v>1905.5</v>
      </c>
      <c r="AH30" s="524">
        <f>'Datu ievade'!AG170*'Kopējie pieņēmumi'!AH10</f>
        <v>1946.6999999999998</v>
      </c>
    </row>
    <row r="31" spans="1:34" x14ac:dyDescent="0.2">
      <c r="A31" s="523" t="s">
        <v>58</v>
      </c>
      <c r="B31" s="525">
        <f t="shared" ref="B31:AG31" si="2">SUM(B24:B30)</f>
        <v>356218.27759999997</v>
      </c>
      <c r="C31" s="525">
        <f t="shared" si="2"/>
        <v>366904.82592800003</v>
      </c>
      <c r="D31" s="525">
        <f t="shared" si="2"/>
        <v>377591.37425599998</v>
      </c>
      <c r="E31" s="525">
        <f t="shared" si="2"/>
        <v>384715.73980800004</v>
      </c>
      <c r="F31" s="525">
        <f t="shared" si="2"/>
        <v>391840.10536000005</v>
      </c>
      <c r="G31" s="525">
        <f t="shared" si="2"/>
        <v>398964.47091200005</v>
      </c>
      <c r="H31" s="525">
        <f t="shared" si="2"/>
        <v>406088.83646399999</v>
      </c>
      <c r="I31" s="525">
        <f t="shared" si="2"/>
        <v>413213.20201599994</v>
      </c>
      <c r="J31" s="525">
        <f t="shared" si="2"/>
        <v>420337.567568</v>
      </c>
      <c r="K31" s="525">
        <f t="shared" si="2"/>
        <v>427461.93311999994</v>
      </c>
      <c r="L31" s="525">
        <f t="shared" si="2"/>
        <v>435917.00260499999</v>
      </c>
      <c r="M31" s="525">
        <f t="shared" si="2"/>
        <v>444372.07209000009</v>
      </c>
      <c r="N31" s="525">
        <f t="shared" si="2"/>
        <v>452827.14157500002</v>
      </c>
      <c r="O31" s="525">
        <f t="shared" si="2"/>
        <v>463513.68990299996</v>
      </c>
      <c r="P31" s="525">
        <f t="shared" si="2"/>
        <v>474200.23823100002</v>
      </c>
      <c r="Q31" s="525">
        <f t="shared" si="2"/>
        <v>484886.78655900003</v>
      </c>
      <c r="R31" s="525">
        <f t="shared" si="2"/>
        <v>495573.33488699998</v>
      </c>
      <c r="S31" s="525">
        <f t="shared" si="2"/>
        <v>506259.88321499992</v>
      </c>
      <c r="T31" s="525">
        <f t="shared" si="2"/>
        <v>516946.43154300004</v>
      </c>
      <c r="U31" s="525">
        <f t="shared" si="2"/>
        <v>527632.97987099993</v>
      </c>
      <c r="V31" s="525">
        <f t="shared" si="2"/>
        <v>538319.52819900005</v>
      </c>
      <c r="W31" s="525">
        <f t="shared" si="2"/>
        <v>549006.07652700006</v>
      </c>
      <c r="X31" s="525">
        <f t="shared" si="2"/>
        <v>559692.62485500006</v>
      </c>
      <c r="Y31" s="525">
        <f t="shared" si="2"/>
        <v>570379.17318299995</v>
      </c>
      <c r="Z31" s="525">
        <f t="shared" si="2"/>
        <v>581065.72151099995</v>
      </c>
      <c r="AA31" s="525">
        <f t="shared" si="2"/>
        <v>591752.26983899996</v>
      </c>
      <c r="AB31" s="525">
        <f t="shared" si="2"/>
        <v>603769.52209999994</v>
      </c>
      <c r="AC31" s="525">
        <f t="shared" si="2"/>
        <v>615786.77436100005</v>
      </c>
      <c r="AD31" s="525">
        <f t="shared" si="2"/>
        <v>627804.02662200003</v>
      </c>
      <c r="AE31" s="525">
        <f t="shared" si="2"/>
        <v>639821.2788829999</v>
      </c>
      <c r="AF31" s="525">
        <f t="shared" si="2"/>
        <v>654070.00998700003</v>
      </c>
      <c r="AG31" s="525">
        <f t="shared" si="2"/>
        <v>668318.74109099992</v>
      </c>
      <c r="AH31" s="525">
        <f>SUM(AH24:AH30)</f>
        <v>682567.47219499992</v>
      </c>
    </row>
    <row r="32" spans="1:34" x14ac:dyDescent="0.2">
      <c r="A32" s="523" t="s">
        <v>540</v>
      </c>
      <c r="B32" s="525">
        <f t="shared" ref="B32:AG32" si="3">SUM(B20,B31)</f>
        <v>627510.27759999991</v>
      </c>
      <c r="C32" s="525">
        <f t="shared" si="3"/>
        <v>590425.41045929806</v>
      </c>
      <c r="D32" s="525">
        <f t="shared" si="3"/>
        <v>608058.92623007763</v>
      </c>
      <c r="E32" s="525">
        <f t="shared" si="3"/>
        <v>620089.38495643204</v>
      </c>
      <c r="F32" s="525">
        <f t="shared" si="3"/>
        <v>632177.61951746349</v>
      </c>
      <c r="G32" s="525">
        <f t="shared" si="3"/>
        <v>644292.46607010765</v>
      </c>
      <c r="H32" s="525">
        <f t="shared" si="3"/>
        <v>655797.68867850234</v>
      </c>
      <c r="I32" s="525">
        <f t="shared" si="3"/>
        <v>667302.91128689703</v>
      </c>
      <c r="J32" s="525">
        <f t="shared" si="3"/>
        <v>678808.13389529195</v>
      </c>
      <c r="K32" s="525">
        <f t="shared" si="3"/>
        <v>690313.35650368663</v>
      </c>
      <c r="L32" s="525">
        <f t="shared" si="3"/>
        <v>703149.28304508142</v>
      </c>
      <c r="M32" s="525">
        <f t="shared" si="3"/>
        <v>715985.20958647644</v>
      </c>
      <c r="N32" s="525">
        <f t="shared" si="3"/>
        <v>728821.136127871</v>
      </c>
      <c r="O32" s="525">
        <f t="shared" si="3"/>
        <v>746078.97004046314</v>
      </c>
      <c r="P32" s="525">
        <f t="shared" si="3"/>
        <v>763336.80395305541</v>
      </c>
      <c r="Q32" s="525">
        <f t="shared" si="3"/>
        <v>780594.63786564756</v>
      </c>
      <c r="R32" s="525">
        <f t="shared" si="3"/>
        <v>872372.47177823959</v>
      </c>
      <c r="S32" s="525">
        <f t="shared" si="3"/>
        <v>891250.30569083174</v>
      </c>
      <c r="T32" s="525">
        <f t="shared" si="3"/>
        <v>910128.139603424</v>
      </c>
      <c r="U32" s="525">
        <f t="shared" si="3"/>
        <v>929005.97351601615</v>
      </c>
      <c r="V32" s="525">
        <f t="shared" si="3"/>
        <v>962883.80742860842</v>
      </c>
      <c r="W32" s="525">
        <f t="shared" si="3"/>
        <v>982061.64134120056</v>
      </c>
      <c r="X32" s="525">
        <f t="shared" si="3"/>
        <v>1001239.4752537927</v>
      </c>
      <c r="Y32" s="525">
        <f t="shared" si="3"/>
        <v>1020417.3091663849</v>
      </c>
      <c r="Z32" s="525">
        <f t="shared" si="3"/>
        <v>1039595.143078977</v>
      </c>
      <c r="AA32" s="525">
        <f t="shared" si="3"/>
        <v>1058772.9769915692</v>
      </c>
      <c r="AB32" s="525">
        <f t="shared" si="3"/>
        <v>1079281.5148371612</v>
      </c>
      <c r="AC32" s="525">
        <f t="shared" si="3"/>
        <v>1099790.0526827537</v>
      </c>
      <c r="AD32" s="525">
        <f t="shared" si="3"/>
        <v>1120298.5905283457</v>
      </c>
      <c r="AE32" s="525">
        <f t="shared" si="3"/>
        <v>1140807.1283739377</v>
      </c>
      <c r="AF32" s="525">
        <f t="shared" si="3"/>
        <v>1166377.5735907275</v>
      </c>
      <c r="AG32" s="525">
        <f t="shared" si="3"/>
        <v>1191948.0188075169</v>
      </c>
      <c r="AH32" s="525">
        <f>SUM(AH20,AH31)</f>
        <v>1217518.4640243063</v>
      </c>
    </row>
    <row r="33" spans="1:34" x14ac:dyDescent="0.2">
      <c r="A33" s="621"/>
      <c r="B33" s="622"/>
      <c r="C33" s="622"/>
      <c r="D33" s="622"/>
      <c r="E33" s="622"/>
      <c r="F33" s="622"/>
      <c r="G33" s="622"/>
      <c r="H33" s="622"/>
      <c r="I33" s="622"/>
      <c r="J33" s="622"/>
      <c r="K33" s="622"/>
      <c r="L33" s="622"/>
      <c r="M33" s="622"/>
      <c r="N33" s="622"/>
      <c r="O33" s="622"/>
      <c r="P33" s="622"/>
      <c r="Q33" s="622"/>
      <c r="R33" s="622"/>
      <c r="S33" s="622"/>
      <c r="T33" s="622"/>
      <c r="U33" s="622"/>
      <c r="V33" s="622"/>
      <c r="W33" s="622"/>
      <c r="X33" s="622"/>
      <c r="Y33" s="622"/>
      <c r="Z33" s="622"/>
      <c r="AA33" s="622"/>
      <c r="AB33" s="622"/>
      <c r="AC33" s="622"/>
      <c r="AD33" s="622"/>
      <c r="AE33" s="622"/>
      <c r="AF33" s="622"/>
      <c r="AG33" s="622"/>
      <c r="AH33" s="622"/>
    </row>
    <row r="34" spans="1:34" x14ac:dyDescent="0.2">
      <c r="A34" s="621" t="s">
        <v>59</v>
      </c>
      <c r="B34" s="622"/>
      <c r="C34" s="622"/>
      <c r="D34" s="622"/>
      <c r="E34" s="622"/>
      <c r="F34" s="622"/>
      <c r="G34" s="622"/>
      <c r="H34" s="622"/>
      <c r="I34" s="622"/>
      <c r="J34" s="622"/>
      <c r="K34" s="622"/>
      <c r="L34" s="622"/>
      <c r="M34" s="622"/>
      <c r="N34" s="622"/>
      <c r="O34" s="622"/>
      <c r="P34" s="622"/>
      <c r="Q34" s="622"/>
      <c r="R34" s="622"/>
      <c r="S34" s="622"/>
      <c r="T34" s="622"/>
      <c r="U34" s="622"/>
      <c r="V34" s="622"/>
      <c r="W34" s="622"/>
      <c r="X34" s="622"/>
      <c r="Y34" s="622"/>
      <c r="Z34" s="622"/>
      <c r="AA34" s="622"/>
      <c r="AB34" s="622"/>
      <c r="AC34" s="622"/>
      <c r="AD34" s="622"/>
      <c r="AE34" s="622"/>
      <c r="AF34" s="622"/>
      <c r="AG34" s="622"/>
      <c r="AH34" s="622"/>
    </row>
    <row r="35" spans="1:34" x14ac:dyDescent="0.2">
      <c r="A35" s="621" t="s">
        <v>299</v>
      </c>
      <c r="B35" s="622"/>
      <c r="C35" s="622"/>
      <c r="D35" s="622"/>
      <c r="E35" s="622"/>
      <c r="F35" s="622"/>
      <c r="G35" s="622"/>
      <c r="H35" s="622"/>
      <c r="I35" s="622"/>
      <c r="J35" s="622"/>
      <c r="K35" s="622"/>
      <c r="L35" s="622"/>
      <c r="M35" s="622"/>
      <c r="N35" s="622"/>
      <c r="O35" s="622"/>
      <c r="P35" s="622"/>
      <c r="Q35" s="622"/>
      <c r="R35" s="622"/>
      <c r="S35" s="622"/>
      <c r="T35" s="622"/>
      <c r="U35" s="622"/>
      <c r="V35" s="622"/>
      <c r="W35" s="622"/>
      <c r="X35" s="622"/>
      <c r="Y35" s="622"/>
      <c r="Z35" s="622"/>
      <c r="AA35" s="622"/>
      <c r="AB35" s="622"/>
      <c r="AC35" s="622"/>
      <c r="AD35" s="622"/>
      <c r="AE35" s="622"/>
      <c r="AF35" s="622"/>
      <c r="AG35" s="622"/>
      <c r="AH35" s="622"/>
    </row>
    <row r="36" spans="1:34" x14ac:dyDescent="0.2">
      <c r="A36" s="30" t="s">
        <v>586</v>
      </c>
      <c r="B36" s="524">
        <f>$B51*B$64</f>
        <v>219525.55</v>
      </c>
      <c r="C36" s="524">
        <f>$C51*C$64</f>
        <v>219855.66360902259</v>
      </c>
      <c r="D36" s="524">
        <f>D51*D$64</f>
        <v>222789.25052631582</v>
      </c>
      <c r="E36" s="524">
        <f t="shared" ref="E36:AH36" si="4">E51*E$64</f>
        <v>226288.9409581096</v>
      </c>
      <c r="F36" s="524">
        <f t="shared" si="4"/>
        <v>230309.86084532758</v>
      </c>
      <c r="G36" s="524">
        <f t="shared" si="4"/>
        <v>233772.35880128897</v>
      </c>
      <c r="H36" s="524">
        <f t="shared" si="4"/>
        <v>236999.98505692807</v>
      </c>
      <c r="I36" s="524">
        <f t="shared" si="4"/>
        <v>240227.61131256717</v>
      </c>
      <c r="J36" s="524">
        <f t="shared" si="4"/>
        <v>243224.69283566059</v>
      </c>
      <c r="K36" s="524">
        <f t="shared" si="4"/>
        <v>246452.31909129969</v>
      </c>
      <c r="L36" s="524">
        <f t="shared" si="4"/>
        <v>250602.12427712139</v>
      </c>
      <c r="M36" s="524">
        <f t="shared" si="4"/>
        <v>254521.38473039746</v>
      </c>
      <c r="N36" s="524">
        <f t="shared" si="4"/>
        <v>254982.47419548879</v>
      </c>
      <c r="O36" s="524">
        <f t="shared" si="4"/>
        <v>255443.56366058008</v>
      </c>
      <c r="P36" s="524">
        <f t="shared" si="4"/>
        <v>260054.45831149301</v>
      </c>
      <c r="Q36" s="524">
        <f t="shared" si="4"/>
        <v>262359.90563694952</v>
      </c>
      <c r="R36" s="524">
        <f t="shared" si="4"/>
        <v>263282.08456713211</v>
      </c>
      <c r="S36" s="524">
        <f t="shared" si="4"/>
        <v>268123.52395059081</v>
      </c>
      <c r="T36" s="524">
        <f t="shared" si="4"/>
        <v>272964.96333404945</v>
      </c>
      <c r="U36" s="524">
        <f t="shared" si="4"/>
        <v>277575.85798496241</v>
      </c>
      <c r="V36" s="524">
        <f t="shared" si="4"/>
        <v>282417.2973684211</v>
      </c>
      <c r="W36" s="524">
        <f t="shared" si="4"/>
        <v>287258.73675187974</v>
      </c>
      <c r="X36" s="524">
        <f t="shared" si="4"/>
        <v>292100.17613533838</v>
      </c>
      <c r="Y36" s="524">
        <f t="shared" si="4"/>
        <v>296941.61551879701</v>
      </c>
      <c r="Z36" s="524">
        <f t="shared" si="4"/>
        <v>301783.05490225565</v>
      </c>
      <c r="AA36" s="524">
        <f t="shared" si="4"/>
        <v>306624.49428571435</v>
      </c>
      <c r="AB36" s="524">
        <f t="shared" si="4"/>
        <v>312388.11259935558</v>
      </c>
      <c r="AC36" s="524">
        <f t="shared" si="4"/>
        <v>317921.18618045119</v>
      </c>
      <c r="AD36" s="524">
        <f t="shared" si="4"/>
        <v>323684.80449409242</v>
      </c>
      <c r="AE36" s="524">
        <f t="shared" si="4"/>
        <v>329448.42280773364</v>
      </c>
      <c r="AF36" s="524">
        <f t="shared" si="4"/>
        <v>335903.67531901185</v>
      </c>
      <c r="AG36" s="524">
        <f t="shared" si="4"/>
        <v>342358.92783029005</v>
      </c>
      <c r="AH36" s="524">
        <f t="shared" si="4"/>
        <v>348814.18034156825</v>
      </c>
    </row>
    <row r="37" spans="1:34" x14ac:dyDescent="0.2">
      <c r="A37" s="30" t="s">
        <v>587</v>
      </c>
      <c r="B37" s="524">
        <f>B52*B64</f>
        <v>25359.68</v>
      </c>
      <c r="C37" s="524">
        <f t="shared" ref="C37:AH37" si="5">C52*C64</f>
        <v>25359.680000000004</v>
      </c>
      <c r="D37" s="524">
        <f t="shared" si="5"/>
        <v>25621.119999999999</v>
      </c>
      <c r="E37" s="524">
        <f t="shared" si="5"/>
        <v>25934.847999999998</v>
      </c>
      <c r="F37" s="524">
        <f t="shared" si="5"/>
        <v>26222.431999999997</v>
      </c>
      <c r="G37" s="524">
        <f t="shared" si="5"/>
        <v>26510.016</v>
      </c>
      <c r="H37" s="524">
        <f t="shared" si="5"/>
        <v>26876.031999999999</v>
      </c>
      <c r="I37" s="524">
        <f t="shared" si="5"/>
        <v>27242.048000000003</v>
      </c>
      <c r="J37" s="524">
        <f t="shared" si="5"/>
        <v>27581.919999999998</v>
      </c>
      <c r="K37" s="524">
        <f t="shared" si="5"/>
        <v>27947.935999999998</v>
      </c>
      <c r="L37" s="524">
        <f t="shared" si="5"/>
        <v>28418.527999999998</v>
      </c>
      <c r="M37" s="524">
        <f t="shared" si="5"/>
        <v>28862.976000000002</v>
      </c>
      <c r="N37" s="524">
        <f t="shared" si="5"/>
        <v>28915.264000000003</v>
      </c>
      <c r="O37" s="524">
        <f t="shared" si="5"/>
        <v>28967.552000000003</v>
      </c>
      <c r="P37" s="524">
        <f t="shared" si="5"/>
        <v>29490.431999999997</v>
      </c>
      <c r="Q37" s="524">
        <f t="shared" si="5"/>
        <v>29751.871999999996</v>
      </c>
      <c r="R37" s="524">
        <f t="shared" si="5"/>
        <v>29856.447999999997</v>
      </c>
      <c r="S37" s="524">
        <f t="shared" si="5"/>
        <v>30405.472000000002</v>
      </c>
      <c r="T37" s="524">
        <f t="shared" si="5"/>
        <v>30954.495999999999</v>
      </c>
      <c r="U37" s="524">
        <f t="shared" si="5"/>
        <v>31477.376</v>
      </c>
      <c r="V37" s="524">
        <f t="shared" si="5"/>
        <v>32026.400000000001</v>
      </c>
      <c r="W37" s="524">
        <f t="shared" si="5"/>
        <v>32575.423999999999</v>
      </c>
      <c r="X37" s="524">
        <f t="shared" si="5"/>
        <v>33124.447999999997</v>
      </c>
      <c r="Y37" s="524">
        <f t="shared" si="5"/>
        <v>33673.472000000002</v>
      </c>
      <c r="Z37" s="524">
        <f t="shared" si="5"/>
        <v>34222.495999999999</v>
      </c>
      <c r="AA37" s="524">
        <f t="shared" si="5"/>
        <v>34771.520000000004</v>
      </c>
      <c r="AB37" s="524">
        <f t="shared" si="5"/>
        <v>35425.120000000003</v>
      </c>
      <c r="AC37" s="524">
        <f t="shared" si="5"/>
        <v>36052.576000000001</v>
      </c>
      <c r="AD37" s="524">
        <f t="shared" si="5"/>
        <v>36706.175999999999</v>
      </c>
      <c r="AE37" s="524">
        <f t="shared" si="5"/>
        <v>37359.775999999998</v>
      </c>
      <c r="AF37" s="524">
        <f t="shared" si="5"/>
        <v>38091.808000000005</v>
      </c>
      <c r="AG37" s="524">
        <f t="shared" si="5"/>
        <v>38823.840000000004</v>
      </c>
      <c r="AH37" s="524">
        <f t="shared" si="5"/>
        <v>39555.871999999996</v>
      </c>
    </row>
    <row r="38" spans="1:34" x14ac:dyDescent="0.2">
      <c r="A38" s="30" t="s">
        <v>588</v>
      </c>
      <c r="B38" s="524">
        <f>B53*B$64</f>
        <v>88982.95</v>
      </c>
      <c r="C38" s="524">
        <f t="shared" ref="C38:AH38" si="6">C53*C$64</f>
        <v>88982.950000000012</v>
      </c>
      <c r="D38" s="524">
        <f t="shared" si="6"/>
        <v>89900.3</v>
      </c>
      <c r="E38" s="524">
        <f t="shared" si="6"/>
        <v>91001.12</v>
      </c>
      <c r="F38" s="524">
        <f t="shared" si="6"/>
        <v>92010.204999999987</v>
      </c>
      <c r="G38" s="524">
        <f t="shared" si="6"/>
        <v>93019.290000000008</v>
      </c>
      <c r="H38" s="524">
        <f t="shared" si="6"/>
        <v>94303.58</v>
      </c>
      <c r="I38" s="524">
        <f t="shared" si="6"/>
        <v>95587.87000000001</v>
      </c>
      <c r="J38" s="524">
        <f t="shared" si="6"/>
        <v>96780.424999999988</v>
      </c>
      <c r="K38" s="524">
        <f t="shared" si="6"/>
        <v>98064.714999999997</v>
      </c>
      <c r="L38" s="524">
        <f t="shared" si="6"/>
        <v>99715.944999999992</v>
      </c>
      <c r="M38" s="524">
        <f t="shared" si="6"/>
        <v>101275.44</v>
      </c>
      <c r="N38" s="524">
        <f t="shared" si="6"/>
        <v>101458.91</v>
      </c>
      <c r="O38" s="524">
        <f t="shared" si="6"/>
        <v>101642.38</v>
      </c>
      <c r="P38" s="524">
        <f t="shared" si="6"/>
        <v>103477.07999999999</v>
      </c>
      <c r="Q38" s="524">
        <f t="shared" si="6"/>
        <v>104394.43</v>
      </c>
      <c r="R38" s="524">
        <f t="shared" si="6"/>
        <v>104761.37</v>
      </c>
      <c r="S38" s="524">
        <f t="shared" si="6"/>
        <v>106687.80500000001</v>
      </c>
      <c r="T38" s="524">
        <f t="shared" si="6"/>
        <v>108614.23999999999</v>
      </c>
      <c r="U38" s="524">
        <f t="shared" si="6"/>
        <v>110448.94</v>
      </c>
      <c r="V38" s="524">
        <f t="shared" si="6"/>
        <v>112375.37500000001</v>
      </c>
      <c r="W38" s="524">
        <f t="shared" si="6"/>
        <v>114301.81</v>
      </c>
      <c r="X38" s="524">
        <f t="shared" si="6"/>
        <v>116228.245</v>
      </c>
      <c r="Y38" s="524">
        <f t="shared" si="6"/>
        <v>118154.68000000001</v>
      </c>
      <c r="Z38" s="524">
        <f t="shared" si="6"/>
        <v>120081.11499999999</v>
      </c>
      <c r="AA38" s="524">
        <f t="shared" si="6"/>
        <v>122007.55</v>
      </c>
      <c r="AB38" s="524">
        <f t="shared" si="6"/>
        <v>124300.925</v>
      </c>
      <c r="AC38" s="524">
        <f t="shared" si="6"/>
        <v>126502.565</v>
      </c>
      <c r="AD38" s="524">
        <f t="shared" si="6"/>
        <v>128795.93999999999</v>
      </c>
      <c r="AE38" s="524">
        <f t="shared" si="6"/>
        <v>131089.315</v>
      </c>
      <c r="AF38" s="524">
        <f t="shared" si="6"/>
        <v>133657.89500000002</v>
      </c>
      <c r="AG38" s="524">
        <f t="shared" si="6"/>
        <v>136226.47500000001</v>
      </c>
      <c r="AH38" s="524">
        <f t="shared" si="6"/>
        <v>138795.05499999999</v>
      </c>
    </row>
    <row r="39" spans="1:34" x14ac:dyDescent="0.2">
      <c r="A39" s="523" t="s">
        <v>60</v>
      </c>
      <c r="B39" s="525">
        <f t="shared" ref="B39:AG39" si="7">SUM(B36:B38)</f>
        <v>333868.18</v>
      </c>
      <c r="C39" s="525">
        <f t="shared" si="7"/>
        <v>334198.29360902263</v>
      </c>
      <c r="D39" s="525">
        <f t="shared" si="7"/>
        <v>338310.67052631581</v>
      </c>
      <c r="E39" s="525">
        <f t="shared" si="7"/>
        <v>343224.90895810956</v>
      </c>
      <c r="F39" s="525">
        <f t="shared" si="7"/>
        <v>348542.4978453276</v>
      </c>
      <c r="G39" s="525">
        <f t="shared" si="7"/>
        <v>353301.66480128898</v>
      </c>
      <c r="H39" s="525">
        <f t="shared" si="7"/>
        <v>358179.59705692809</v>
      </c>
      <c r="I39" s="525">
        <f t="shared" si="7"/>
        <v>363057.52931256715</v>
      </c>
      <c r="J39" s="525">
        <f t="shared" si="7"/>
        <v>367587.03783566057</v>
      </c>
      <c r="K39" s="525">
        <f t="shared" si="7"/>
        <v>372464.97009129974</v>
      </c>
      <c r="L39" s="525">
        <f t="shared" si="7"/>
        <v>378736.59727712139</v>
      </c>
      <c r="M39" s="525">
        <f t="shared" si="7"/>
        <v>384659.80073039746</v>
      </c>
      <c r="N39" s="525">
        <f t="shared" si="7"/>
        <v>385356.64819548884</v>
      </c>
      <c r="O39" s="525">
        <f t="shared" si="7"/>
        <v>386053.49566058011</v>
      </c>
      <c r="P39" s="525">
        <f t="shared" si="7"/>
        <v>393021.97031149303</v>
      </c>
      <c r="Q39" s="525">
        <f t="shared" si="7"/>
        <v>396506.20763694949</v>
      </c>
      <c r="R39" s="525">
        <f t="shared" si="7"/>
        <v>397899.90256713209</v>
      </c>
      <c r="S39" s="525">
        <f t="shared" si="7"/>
        <v>405216.80095059081</v>
      </c>
      <c r="T39" s="525">
        <f t="shared" si="7"/>
        <v>412533.69933404942</v>
      </c>
      <c r="U39" s="525">
        <f t="shared" si="7"/>
        <v>419502.1739849624</v>
      </c>
      <c r="V39" s="525">
        <f t="shared" si="7"/>
        <v>426819.07236842113</v>
      </c>
      <c r="W39" s="525">
        <f t="shared" si="7"/>
        <v>434135.97075187974</v>
      </c>
      <c r="X39" s="525">
        <f t="shared" si="7"/>
        <v>441452.86913533835</v>
      </c>
      <c r="Y39" s="525">
        <f t="shared" si="7"/>
        <v>448769.76751879702</v>
      </c>
      <c r="Z39" s="525">
        <f t="shared" si="7"/>
        <v>456086.66590225563</v>
      </c>
      <c r="AA39" s="525">
        <f t="shared" si="7"/>
        <v>463403.56428571435</v>
      </c>
      <c r="AB39" s="525">
        <f t="shared" si="7"/>
        <v>472114.15759935556</v>
      </c>
      <c r="AC39" s="525">
        <f t="shared" si="7"/>
        <v>480476.32718045119</v>
      </c>
      <c r="AD39" s="525">
        <f t="shared" si="7"/>
        <v>489186.9204940924</v>
      </c>
      <c r="AE39" s="525">
        <f t="shared" si="7"/>
        <v>497897.51380773366</v>
      </c>
      <c r="AF39" s="525">
        <f t="shared" si="7"/>
        <v>507653.37831901188</v>
      </c>
      <c r="AG39" s="525">
        <f t="shared" si="7"/>
        <v>517409.24283029011</v>
      </c>
      <c r="AH39" s="525">
        <f>SUM(AH36:AH38)</f>
        <v>527165.10734156822</v>
      </c>
    </row>
    <row r="40" spans="1:34" x14ac:dyDescent="0.2">
      <c r="A40" s="621" t="s">
        <v>295</v>
      </c>
      <c r="B40" s="622"/>
      <c r="C40" s="622"/>
      <c r="D40" s="622"/>
      <c r="E40" s="622"/>
      <c r="F40" s="622"/>
      <c r="G40" s="622"/>
      <c r="H40" s="622"/>
      <c r="I40" s="622"/>
      <c r="J40" s="622"/>
      <c r="K40" s="622"/>
      <c r="L40" s="622"/>
      <c r="M40" s="622"/>
      <c r="N40" s="622"/>
      <c r="O40" s="622"/>
      <c r="P40" s="622"/>
      <c r="Q40" s="622"/>
      <c r="R40" s="622"/>
      <c r="S40" s="622"/>
      <c r="T40" s="622"/>
      <c r="U40" s="622"/>
      <c r="V40" s="622"/>
      <c r="W40" s="622"/>
      <c r="X40" s="622"/>
      <c r="Y40" s="622"/>
      <c r="Z40" s="622"/>
      <c r="AA40" s="622"/>
      <c r="AB40" s="622"/>
      <c r="AC40" s="622"/>
      <c r="AD40" s="622"/>
      <c r="AE40" s="622"/>
      <c r="AF40" s="622"/>
      <c r="AG40" s="622"/>
      <c r="AH40" s="622"/>
    </row>
    <row r="41" spans="1:34" x14ac:dyDescent="0.2">
      <c r="A41" s="30" t="s">
        <v>586</v>
      </c>
      <c r="B41" s="524">
        <f>B57*B$67</f>
        <v>342547.5</v>
      </c>
      <c r="C41" s="524">
        <f t="shared" ref="C41:AH41" si="8">C57*C$67</f>
        <v>343595.74710720085</v>
      </c>
      <c r="D41" s="524">
        <f t="shared" si="8"/>
        <v>402075.02914650476</v>
      </c>
      <c r="E41" s="524">
        <f t="shared" si="8"/>
        <v>408815.08333795541</v>
      </c>
      <c r="F41" s="524">
        <f t="shared" si="8"/>
        <v>416999.46917375928</v>
      </c>
      <c r="G41" s="524">
        <f t="shared" si="8"/>
        <v>425180.1643062064</v>
      </c>
      <c r="H41" s="524">
        <f t="shared" si="8"/>
        <v>432582.7980233336</v>
      </c>
      <c r="I41" s="524">
        <f t="shared" si="8"/>
        <v>438045.95620732522</v>
      </c>
      <c r="J41" s="524">
        <f t="shared" si="8"/>
        <v>443260.78901931713</v>
      </c>
      <c r="K41" s="524">
        <f t="shared" si="8"/>
        <v>448475.62183130917</v>
      </c>
      <c r="L41" s="524">
        <f t="shared" si="8"/>
        <v>453938.78001530073</v>
      </c>
      <c r="M41" s="524">
        <f t="shared" si="8"/>
        <v>459153.6128272927</v>
      </c>
      <c r="N41" s="524">
        <f t="shared" si="8"/>
        <v>463871.79489528545</v>
      </c>
      <c r="O41" s="524">
        <f t="shared" si="8"/>
        <v>463126.81877928658</v>
      </c>
      <c r="P41" s="524">
        <f t="shared" si="8"/>
        <v>471073.23068327433</v>
      </c>
      <c r="Q41" s="524">
        <f t="shared" si="8"/>
        <v>479019.64258726209</v>
      </c>
      <c r="R41" s="524">
        <f t="shared" si="8"/>
        <v>479019.64258726209</v>
      </c>
      <c r="S41" s="524">
        <f t="shared" si="8"/>
        <v>474301.46051926934</v>
      </c>
      <c r="T41" s="524">
        <f t="shared" si="8"/>
        <v>483489.49928325519</v>
      </c>
      <c r="U41" s="524">
        <f t="shared" si="8"/>
        <v>492677.53804724105</v>
      </c>
      <c r="V41" s="524">
        <f t="shared" si="8"/>
        <v>513040.21855120966</v>
      </c>
      <c r="W41" s="524">
        <f t="shared" si="8"/>
        <v>522476.58268719516</v>
      </c>
      <c r="X41" s="524">
        <f t="shared" si="8"/>
        <v>531664.62145118101</v>
      </c>
      <c r="Y41" s="524">
        <f t="shared" si="8"/>
        <v>541100.98558716639</v>
      </c>
      <c r="Z41" s="524">
        <f t="shared" si="8"/>
        <v>550537.34972315188</v>
      </c>
      <c r="AA41" s="524">
        <f t="shared" si="8"/>
        <v>559725.38848713774</v>
      </c>
      <c r="AB41" s="524">
        <f t="shared" si="8"/>
        <v>569161.75262312323</v>
      </c>
      <c r="AC41" s="524">
        <f t="shared" si="8"/>
        <v>578598.11675910873</v>
      </c>
      <c r="AD41" s="524">
        <f t="shared" si="8"/>
        <v>587786.15552309458</v>
      </c>
      <c r="AE41" s="524">
        <f t="shared" si="8"/>
        <v>597222.51965907996</v>
      </c>
      <c r="AF41" s="524">
        <f t="shared" si="8"/>
        <v>609638.78825906094</v>
      </c>
      <c r="AG41" s="524">
        <f t="shared" si="8"/>
        <v>622055.05685904168</v>
      </c>
      <c r="AH41" s="524">
        <f t="shared" si="8"/>
        <v>634471.32545902266</v>
      </c>
    </row>
    <row r="42" spans="1:34" x14ac:dyDescent="0.2">
      <c r="A42" s="30" t="s">
        <v>587</v>
      </c>
      <c r="B42" s="524">
        <f>B58*B67</f>
        <v>37776</v>
      </c>
      <c r="C42" s="524">
        <f t="shared" ref="C42:AH42" si="9">C58*C67</f>
        <v>37775.999999999993</v>
      </c>
      <c r="D42" s="524">
        <f t="shared" si="9"/>
        <v>43895.712</v>
      </c>
      <c r="E42" s="524">
        <f t="shared" si="9"/>
        <v>44097.183999999994</v>
      </c>
      <c r="F42" s="524">
        <f t="shared" si="9"/>
        <v>43996.448000000004</v>
      </c>
      <c r="G42" s="524">
        <f t="shared" si="9"/>
        <v>43895.712</v>
      </c>
      <c r="H42" s="524">
        <f t="shared" si="9"/>
        <v>43870.527999999998</v>
      </c>
      <c r="I42" s="524">
        <f t="shared" si="9"/>
        <v>44424.576000000001</v>
      </c>
      <c r="J42" s="524">
        <f t="shared" si="9"/>
        <v>44953.439999999995</v>
      </c>
      <c r="K42" s="524">
        <f t="shared" si="9"/>
        <v>45482.304000000004</v>
      </c>
      <c r="L42" s="524">
        <f t="shared" si="9"/>
        <v>46036.351999999999</v>
      </c>
      <c r="M42" s="524">
        <f t="shared" si="9"/>
        <v>46565.216</v>
      </c>
      <c r="N42" s="524">
        <f t="shared" si="9"/>
        <v>47043.712</v>
      </c>
      <c r="O42" s="524">
        <f t="shared" si="9"/>
        <v>46968.159999999996</v>
      </c>
      <c r="P42" s="524">
        <f t="shared" si="9"/>
        <v>47774.048000000003</v>
      </c>
      <c r="Q42" s="524">
        <f t="shared" si="9"/>
        <v>48579.936000000002</v>
      </c>
      <c r="R42" s="524">
        <f t="shared" si="9"/>
        <v>48579.936000000002</v>
      </c>
      <c r="S42" s="524">
        <f t="shared" si="9"/>
        <v>48101.439999999995</v>
      </c>
      <c r="T42" s="524">
        <f t="shared" si="9"/>
        <v>49033.248</v>
      </c>
      <c r="U42" s="524">
        <f t="shared" si="9"/>
        <v>49965.055999999997</v>
      </c>
      <c r="V42" s="524">
        <f t="shared" si="9"/>
        <v>52030.143999999993</v>
      </c>
      <c r="W42" s="524">
        <f t="shared" si="9"/>
        <v>52987.136000000006</v>
      </c>
      <c r="X42" s="524">
        <f t="shared" si="9"/>
        <v>53918.944000000003</v>
      </c>
      <c r="Y42" s="524">
        <f t="shared" si="9"/>
        <v>54875.935999999994</v>
      </c>
      <c r="Z42" s="524">
        <f t="shared" si="9"/>
        <v>55832.928</v>
      </c>
      <c r="AA42" s="524">
        <f t="shared" si="9"/>
        <v>56764.735999999997</v>
      </c>
      <c r="AB42" s="524">
        <f t="shared" si="9"/>
        <v>57721.727999999996</v>
      </c>
      <c r="AC42" s="524">
        <f t="shared" si="9"/>
        <v>58678.720000000001</v>
      </c>
      <c r="AD42" s="524">
        <f t="shared" si="9"/>
        <v>59610.527999999998</v>
      </c>
      <c r="AE42" s="524">
        <f t="shared" si="9"/>
        <v>60567.519999999997</v>
      </c>
      <c r="AF42" s="524">
        <f t="shared" si="9"/>
        <v>61826.720000000001</v>
      </c>
      <c r="AG42" s="524">
        <f t="shared" si="9"/>
        <v>63085.919999999998</v>
      </c>
      <c r="AH42" s="524">
        <f t="shared" si="9"/>
        <v>64345.120000000003</v>
      </c>
    </row>
    <row r="43" spans="1:34" x14ac:dyDescent="0.2">
      <c r="A43" s="30" t="s">
        <v>588</v>
      </c>
      <c r="B43" s="524">
        <f>B59*B$67</f>
        <v>110014.5</v>
      </c>
      <c r="C43" s="524">
        <f t="shared" ref="C43:AH43" si="10">C59*C$67</f>
        <v>110014.49999999999</v>
      </c>
      <c r="D43" s="524">
        <f t="shared" si="10"/>
        <v>127836.849</v>
      </c>
      <c r="E43" s="524">
        <f t="shared" si="10"/>
        <v>128423.59299999999</v>
      </c>
      <c r="F43" s="524">
        <f t="shared" si="10"/>
        <v>128130.22100000001</v>
      </c>
      <c r="G43" s="524">
        <f t="shared" si="10"/>
        <v>127836.849</v>
      </c>
      <c r="H43" s="524">
        <f t="shared" si="10"/>
        <v>127763.50599999999</v>
      </c>
      <c r="I43" s="524">
        <f t="shared" si="10"/>
        <v>129377.052</v>
      </c>
      <c r="J43" s="524">
        <f t="shared" si="10"/>
        <v>130917.25499999999</v>
      </c>
      <c r="K43" s="524">
        <f t="shared" si="10"/>
        <v>132457.45800000001</v>
      </c>
      <c r="L43" s="524">
        <f t="shared" si="10"/>
        <v>134071.00400000002</v>
      </c>
      <c r="M43" s="524">
        <f t="shared" si="10"/>
        <v>135611.20699999999</v>
      </c>
      <c r="N43" s="524">
        <f t="shared" si="10"/>
        <v>137004.72400000002</v>
      </c>
      <c r="O43" s="524">
        <f t="shared" si="10"/>
        <v>136784.69500000001</v>
      </c>
      <c r="P43" s="524">
        <f t="shared" si="10"/>
        <v>139131.671</v>
      </c>
      <c r="Q43" s="524">
        <f t="shared" si="10"/>
        <v>141478.647</v>
      </c>
      <c r="R43" s="524">
        <f t="shared" si="10"/>
        <v>141478.647</v>
      </c>
      <c r="S43" s="524">
        <f t="shared" si="10"/>
        <v>140085.13</v>
      </c>
      <c r="T43" s="524">
        <f t="shared" si="10"/>
        <v>142798.821</v>
      </c>
      <c r="U43" s="524">
        <f t="shared" si="10"/>
        <v>145512.51199999999</v>
      </c>
      <c r="V43" s="524">
        <f t="shared" si="10"/>
        <v>151526.63799999998</v>
      </c>
      <c r="W43" s="524">
        <f t="shared" si="10"/>
        <v>154313.67200000002</v>
      </c>
      <c r="X43" s="524">
        <f t="shared" si="10"/>
        <v>157027.36300000001</v>
      </c>
      <c r="Y43" s="524">
        <f t="shared" si="10"/>
        <v>159814.397</v>
      </c>
      <c r="Z43" s="524">
        <f t="shared" si="10"/>
        <v>162601.43100000001</v>
      </c>
      <c r="AA43" s="524">
        <f t="shared" si="10"/>
        <v>165315.122</v>
      </c>
      <c r="AB43" s="524">
        <f t="shared" si="10"/>
        <v>168102.15599999999</v>
      </c>
      <c r="AC43" s="524">
        <f t="shared" si="10"/>
        <v>170889.19</v>
      </c>
      <c r="AD43" s="524">
        <f t="shared" si="10"/>
        <v>173602.88099999999</v>
      </c>
      <c r="AE43" s="524">
        <f t="shared" si="10"/>
        <v>176389.91499999998</v>
      </c>
      <c r="AF43" s="524">
        <f t="shared" si="10"/>
        <v>180057.065</v>
      </c>
      <c r="AG43" s="524">
        <f t="shared" si="10"/>
        <v>183724.215</v>
      </c>
      <c r="AH43" s="524">
        <f t="shared" si="10"/>
        <v>187391.36500000002</v>
      </c>
    </row>
    <row r="44" spans="1:34" x14ac:dyDescent="0.2">
      <c r="A44" s="523" t="s">
        <v>61</v>
      </c>
      <c r="B44" s="525">
        <f t="shared" ref="B44:AG44" si="11">SUM(B41:B43)</f>
        <v>490338</v>
      </c>
      <c r="C44" s="525">
        <f t="shared" si="11"/>
        <v>491386.24710720085</v>
      </c>
      <c r="D44" s="525">
        <f t="shared" si="11"/>
        <v>573807.59014650481</v>
      </c>
      <c r="E44" s="525">
        <f t="shared" si="11"/>
        <v>581335.86033795541</v>
      </c>
      <c r="F44" s="525">
        <f t="shared" si="11"/>
        <v>589126.13817375933</v>
      </c>
      <c r="G44" s="525">
        <f t="shared" si="11"/>
        <v>596912.72530620638</v>
      </c>
      <c r="H44" s="525">
        <f t="shared" si="11"/>
        <v>604216.83202333353</v>
      </c>
      <c r="I44" s="525">
        <f t="shared" si="11"/>
        <v>611847.58420732524</v>
      </c>
      <c r="J44" s="525">
        <f t="shared" si="11"/>
        <v>619131.48401931708</v>
      </c>
      <c r="K44" s="525">
        <f t="shared" si="11"/>
        <v>626415.38383130915</v>
      </c>
      <c r="L44" s="525">
        <f t="shared" si="11"/>
        <v>634046.13601530076</v>
      </c>
      <c r="M44" s="525">
        <f t="shared" si="11"/>
        <v>641330.03582729271</v>
      </c>
      <c r="N44" s="525">
        <f t="shared" si="11"/>
        <v>647920.23089528549</v>
      </c>
      <c r="O44" s="525">
        <f t="shared" si="11"/>
        <v>646879.67377928656</v>
      </c>
      <c r="P44" s="525">
        <f t="shared" si="11"/>
        <v>657978.94968327438</v>
      </c>
      <c r="Q44" s="525">
        <f t="shared" si="11"/>
        <v>669078.22558726207</v>
      </c>
      <c r="R44" s="525">
        <f t="shared" si="11"/>
        <v>669078.22558726207</v>
      </c>
      <c r="S44" s="525">
        <f t="shared" si="11"/>
        <v>662488.03051926941</v>
      </c>
      <c r="T44" s="525">
        <f t="shared" si="11"/>
        <v>675321.56828325521</v>
      </c>
      <c r="U44" s="525">
        <f t="shared" si="11"/>
        <v>688155.10604724102</v>
      </c>
      <c r="V44" s="525">
        <f t="shared" si="11"/>
        <v>716597.00055120955</v>
      </c>
      <c r="W44" s="525">
        <f t="shared" si="11"/>
        <v>729777.39068719523</v>
      </c>
      <c r="X44" s="525">
        <f t="shared" si="11"/>
        <v>742610.92845118104</v>
      </c>
      <c r="Y44" s="525">
        <f t="shared" si="11"/>
        <v>755791.31858716637</v>
      </c>
      <c r="Z44" s="525">
        <f t="shared" si="11"/>
        <v>768971.70872315182</v>
      </c>
      <c r="AA44" s="525">
        <f t="shared" si="11"/>
        <v>781805.24648713775</v>
      </c>
      <c r="AB44" s="525">
        <f t="shared" si="11"/>
        <v>794985.6366231232</v>
      </c>
      <c r="AC44" s="525">
        <f t="shared" si="11"/>
        <v>808166.02675910876</v>
      </c>
      <c r="AD44" s="525">
        <f t="shared" si="11"/>
        <v>820999.56452309457</v>
      </c>
      <c r="AE44" s="525">
        <f t="shared" si="11"/>
        <v>834179.9546590799</v>
      </c>
      <c r="AF44" s="525">
        <f t="shared" si="11"/>
        <v>851522.57325906097</v>
      </c>
      <c r="AG44" s="525">
        <f t="shared" si="11"/>
        <v>868865.19185904169</v>
      </c>
      <c r="AH44" s="525">
        <f>SUM(AH41:AH43)</f>
        <v>886207.81045902264</v>
      </c>
    </row>
    <row r="45" spans="1:34" x14ac:dyDescent="0.2">
      <c r="A45" s="523" t="s">
        <v>538</v>
      </c>
      <c r="B45" s="525">
        <f t="shared" ref="B45:AG45" si="12">SUM(B39,B44)</f>
        <v>824206.17999999993</v>
      </c>
      <c r="C45" s="525">
        <f t="shared" si="12"/>
        <v>825584.54071622342</v>
      </c>
      <c r="D45" s="525">
        <f t="shared" si="12"/>
        <v>912118.26067282062</v>
      </c>
      <c r="E45" s="525">
        <f t="shared" si="12"/>
        <v>924560.76929606497</v>
      </c>
      <c r="F45" s="525">
        <f t="shared" si="12"/>
        <v>937668.63601908693</v>
      </c>
      <c r="G45" s="525">
        <f t="shared" si="12"/>
        <v>950214.39010749536</v>
      </c>
      <c r="H45" s="525">
        <f t="shared" si="12"/>
        <v>962396.42908026162</v>
      </c>
      <c r="I45" s="525">
        <f t="shared" si="12"/>
        <v>974905.11351989233</v>
      </c>
      <c r="J45" s="525">
        <f t="shared" si="12"/>
        <v>986718.52185497759</v>
      </c>
      <c r="K45" s="525">
        <f t="shared" si="12"/>
        <v>998880.35392260889</v>
      </c>
      <c r="L45" s="525">
        <f t="shared" si="12"/>
        <v>1012782.7332924221</v>
      </c>
      <c r="M45" s="525">
        <f t="shared" si="12"/>
        <v>1025989.8365576902</v>
      </c>
      <c r="N45" s="525">
        <f t="shared" si="12"/>
        <v>1033276.8790907743</v>
      </c>
      <c r="O45" s="525">
        <f t="shared" si="12"/>
        <v>1032933.1694398667</v>
      </c>
      <c r="P45" s="525">
        <f t="shared" si="12"/>
        <v>1051000.9199947673</v>
      </c>
      <c r="Q45" s="525">
        <f t="shared" si="12"/>
        <v>1065584.4332242114</v>
      </c>
      <c r="R45" s="525">
        <f t="shared" si="12"/>
        <v>1066978.1281543942</v>
      </c>
      <c r="S45" s="525">
        <f t="shared" si="12"/>
        <v>1067704.8314698602</v>
      </c>
      <c r="T45" s="525">
        <f t="shared" si="12"/>
        <v>1087855.2676173046</v>
      </c>
      <c r="U45" s="525">
        <f t="shared" si="12"/>
        <v>1107657.2800322035</v>
      </c>
      <c r="V45" s="525">
        <f t="shared" si="12"/>
        <v>1143416.0729196307</v>
      </c>
      <c r="W45" s="525">
        <f t="shared" si="12"/>
        <v>1163913.3614390749</v>
      </c>
      <c r="X45" s="525">
        <f t="shared" si="12"/>
        <v>1184063.7975865193</v>
      </c>
      <c r="Y45" s="525">
        <f t="shared" si="12"/>
        <v>1204561.0861059634</v>
      </c>
      <c r="Z45" s="525">
        <f t="shared" si="12"/>
        <v>1225058.3746254074</v>
      </c>
      <c r="AA45" s="525">
        <f t="shared" si="12"/>
        <v>1245208.810772852</v>
      </c>
      <c r="AB45" s="525">
        <f t="shared" si="12"/>
        <v>1267099.7942224788</v>
      </c>
      <c r="AC45" s="525">
        <f t="shared" si="12"/>
        <v>1288642.35393956</v>
      </c>
      <c r="AD45" s="525">
        <f t="shared" si="12"/>
        <v>1310186.485017187</v>
      </c>
      <c r="AE45" s="525">
        <f t="shared" si="12"/>
        <v>1332077.4684668137</v>
      </c>
      <c r="AF45" s="525">
        <f t="shared" si="12"/>
        <v>1359175.9515780727</v>
      </c>
      <c r="AG45" s="525">
        <f t="shared" si="12"/>
        <v>1386274.4346893318</v>
      </c>
      <c r="AH45" s="525">
        <f>SUM(AH39,AH44)</f>
        <v>1413372.9178005909</v>
      </c>
    </row>
    <row r="46" spans="1:34" x14ac:dyDescent="0.2">
      <c r="A46" s="523" t="s">
        <v>598</v>
      </c>
      <c r="B46" s="525">
        <f t="shared" ref="B46:AG46" si="13">B45-B32</f>
        <v>196695.90240000002</v>
      </c>
      <c r="C46" s="525">
        <f t="shared" si="13"/>
        <v>235159.13025692536</v>
      </c>
      <c r="D46" s="525">
        <f t="shared" si="13"/>
        <v>304059.33444274298</v>
      </c>
      <c r="E46" s="525">
        <f t="shared" si="13"/>
        <v>304471.38433963293</v>
      </c>
      <c r="F46" s="525">
        <f t="shared" si="13"/>
        <v>305491.01650162344</v>
      </c>
      <c r="G46" s="525">
        <f t="shared" si="13"/>
        <v>305921.92403738771</v>
      </c>
      <c r="H46" s="525">
        <f t="shared" si="13"/>
        <v>306598.74040175928</v>
      </c>
      <c r="I46" s="525">
        <f t="shared" si="13"/>
        <v>307602.2022329953</v>
      </c>
      <c r="J46" s="525">
        <f t="shared" si="13"/>
        <v>307910.38795968564</v>
      </c>
      <c r="K46" s="525">
        <f t="shared" si="13"/>
        <v>308566.99741892226</v>
      </c>
      <c r="L46" s="525">
        <f t="shared" si="13"/>
        <v>309633.45024734072</v>
      </c>
      <c r="M46" s="525">
        <f t="shared" si="13"/>
        <v>310004.62697121373</v>
      </c>
      <c r="N46" s="525">
        <f t="shared" si="13"/>
        <v>304455.74296290334</v>
      </c>
      <c r="O46" s="525">
        <f t="shared" si="13"/>
        <v>286854.19939940353</v>
      </c>
      <c r="P46" s="525">
        <f t="shared" si="13"/>
        <v>287664.11604171188</v>
      </c>
      <c r="Q46" s="525">
        <f t="shared" si="13"/>
        <v>284989.79535856389</v>
      </c>
      <c r="R46" s="525">
        <f t="shared" si="13"/>
        <v>194605.65637615463</v>
      </c>
      <c r="S46" s="525">
        <f t="shared" si="13"/>
        <v>176454.52577902842</v>
      </c>
      <c r="T46" s="525">
        <f t="shared" si="13"/>
        <v>177727.12801388057</v>
      </c>
      <c r="U46" s="525">
        <f t="shared" si="13"/>
        <v>178651.30651618738</v>
      </c>
      <c r="V46" s="525">
        <f t="shared" si="13"/>
        <v>180532.26549102226</v>
      </c>
      <c r="W46" s="525">
        <f t="shared" si="13"/>
        <v>181851.72009787429</v>
      </c>
      <c r="X46" s="525">
        <f t="shared" si="13"/>
        <v>182824.32233272656</v>
      </c>
      <c r="Y46" s="525">
        <f t="shared" si="13"/>
        <v>184143.77693957859</v>
      </c>
      <c r="Z46" s="525">
        <f t="shared" si="13"/>
        <v>185463.23154643038</v>
      </c>
      <c r="AA46" s="525">
        <f t="shared" si="13"/>
        <v>186435.83378128288</v>
      </c>
      <c r="AB46" s="525">
        <f t="shared" si="13"/>
        <v>187818.27938531758</v>
      </c>
      <c r="AC46" s="525">
        <f t="shared" si="13"/>
        <v>188852.30125680636</v>
      </c>
      <c r="AD46" s="525">
        <f t="shared" si="13"/>
        <v>189887.8944888413</v>
      </c>
      <c r="AE46" s="525">
        <f t="shared" si="13"/>
        <v>191270.34009287599</v>
      </c>
      <c r="AF46" s="525">
        <f t="shared" si="13"/>
        <v>192798.37798734521</v>
      </c>
      <c r="AG46" s="525">
        <f t="shared" si="13"/>
        <v>194326.4158818149</v>
      </c>
      <c r="AH46" s="525">
        <f>AH45-AH32</f>
        <v>195854.45377628459</v>
      </c>
    </row>
    <row r="47" spans="1:34" x14ac:dyDescent="0.2">
      <c r="A47" s="118"/>
      <c r="B47" s="277"/>
      <c r="C47" s="277"/>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row>
    <row r="48" spans="1:34" ht="15" x14ac:dyDescent="0.2">
      <c r="A48" s="494" t="s">
        <v>62</v>
      </c>
      <c r="C48" s="277"/>
      <c r="D48" s="277"/>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row>
    <row r="49" spans="1:34" outlineLevel="1" x14ac:dyDescent="0.2">
      <c r="A49" s="307" t="s">
        <v>63</v>
      </c>
      <c r="B49" s="422">
        <f>'Datu ievade'!$B$204</f>
        <v>0.06</v>
      </c>
      <c r="C49" s="277"/>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row>
    <row r="50" spans="1:34" outlineLevel="1" x14ac:dyDescent="0.2">
      <c r="A50" s="307" t="s">
        <v>64</v>
      </c>
      <c r="B50" s="119">
        <f>SUM(Aprēķini!B20:B23)</f>
        <v>81717</v>
      </c>
      <c r="C50" s="119">
        <f>SUM(Aprēķini!C20:C23)</f>
        <v>81717</v>
      </c>
      <c r="D50" s="119">
        <f>SUM(Aprēķini!D20:D23)</f>
        <v>81717</v>
      </c>
      <c r="E50" s="119">
        <f>SUM(Aprēķini!E20:E23)</f>
        <v>81717</v>
      </c>
      <c r="F50" s="119">
        <f>SUM(Aprēķini!F20:F23)</f>
        <v>81717</v>
      </c>
      <c r="G50" s="119">
        <f>SUM(Aprēķini!G20:G23)</f>
        <v>81717</v>
      </c>
      <c r="H50" s="119">
        <f>SUM(Aprēķini!H20:H23)</f>
        <v>81717</v>
      </c>
      <c r="I50" s="119">
        <f>SUM(Aprēķini!I20:I23)</f>
        <v>81717</v>
      </c>
      <c r="J50" s="119">
        <f>SUM(Aprēķini!J20:J23)</f>
        <v>81717</v>
      </c>
      <c r="K50" s="119">
        <f>SUM(Aprēķini!K20:K23)</f>
        <v>81717</v>
      </c>
      <c r="L50" s="119">
        <f>SUM(Aprēķini!L20:L23)</f>
        <v>81717</v>
      </c>
      <c r="M50" s="119">
        <f>SUM(Aprēķini!M20:M23)</f>
        <v>81717</v>
      </c>
      <c r="N50" s="119">
        <f>SUM(Aprēķini!N20:N23)</f>
        <v>76453</v>
      </c>
      <c r="O50" s="119">
        <f>SUM(Aprēķini!O20:O23)</f>
        <v>70217</v>
      </c>
      <c r="P50" s="119">
        <f>SUM(Aprēķini!P20:P23)</f>
        <v>70100</v>
      </c>
      <c r="Q50" s="119">
        <f>SUM(Aprēķini!Q20:Q23)</f>
        <v>66726</v>
      </c>
      <c r="R50" s="119">
        <f>SUM(Aprēķini!R20:R23)</f>
        <v>55653</v>
      </c>
      <c r="S50" s="119">
        <f>SUM(Aprēķini!S20:S23)</f>
        <v>55653</v>
      </c>
      <c r="T50" s="119">
        <f>SUM(Aprēķini!T20:T23)</f>
        <v>55653</v>
      </c>
      <c r="U50" s="119">
        <f>SUM(Aprēķini!U20:U23)</f>
        <v>55653</v>
      </c>
      <c r="V50" s="119">
        <f>SUM(Aprēķini!V20:V23)</f>
        <v>55653</v>
      </c>
      <c r="W50" s="119">
        <f>SUM(Aprēķini!W20:W23)</f>
        <v>55653</v>
      </c>
      <c r="X50" s="119">
        <f>SUM(Aprēķini!X20:X23)</f>
        <v>55653</v>
      </c>
      <c r="Y50" s="119">
        <f>SUM(Aprēķini!Y20:Y23)</f>
        <v>55653</v>
      </c>
      <c r="Z50" s="119">
        <f>SUM(Aprēķini!Z20:Z23)</f>
        <v>55653</v>
      </c>
      <c r="AA50" s="119">
        <f>SUM(Aprēķini!AA20:AA23)</f>
        <v>55653</v>
      </c>
      <c r="AB50" s="119">
        <f>SUM(Aprēķini!AB20:AB23)</f>
        <v>55653</v>
      </c>
      <c r="AC50" s="119">
        <f>SUM(Aprēķini!AC20:AC23)</f>
        <v>55653</v>
      </c>
      <c r="AD50" s="119">
        <f>SUM(Aprēķini!AD20:AD23)</f>
        <v>55653</v>
      </c>
      <c r="AE50" s="119">
        <f>SUM(Aprēķini!AE20:AE23)</f>
        <v>55653</v>
      </c>
      <c r="AF50" s="119">
        <f>SUM(Aprēķini!AF20:AF23)</f>
        <v>55653</v>
      </c>
      <c r="AG50" s="119">
        <f>SUM(Aprēķini!AG20:AG23)</f>
        <v>55653</v>
      </c>
      <c r="AH50" s="119">
        <f>SUM(Aprēķini!AH20:AH23)</f>
        <v>55653</v>
      </c>
    </row>
    <row r="51" spans="1:34" ht="14.25" outlineLevel="1" x14ac:dyDescent="0.2">
      <c r="A51" s="421" t="s">
        <v>65</v>
      </c>
      <c r="B51" s="119">
        <f>'Datu ievade'!$B$80*'Datu ievade'!$B$81/1000*365</f>
        <v>226315</v>
      </c>
      <c r="C51" s="119">
        <f>('Datu ievade'!B94-'Datu ievade'!B100-'Datu ievade'!B101)*'Datu ievade'!B95/1000*365</f>
        <v>226655.32330827069</v>
      </c>
      <c r="D51" s="119">
        <f>('Datu ievade'!C94-'Datu ievade'!C100-'Datu ievade'!C101)*'Datu ievade'!C95/1000*365</f>
        <v>227335.96992481206</v>
      </c>
      <c r="E51" s="119">
        <f>('Datu ievade'!D94-'Datu ievade'!D100-'Datu ievade'!D101)*'Datu ievade'!D95/1000*365</f>
        <v>228113.85177228789</v>
      </c>
      <c r="F51" s="119">
        <f>('Datu ievade'!E94-'Datu ievade'!E100-'Datu ievade'!E101)*'Datu ievade'!E95/1000*365</f>
        <v>229620.99785177229</v>
      </c>
      <c r="G51" s="119">
        <f>('Datu ievade'!F94-'Datu ievade'!F100-'Datu ievade'!F101)*'Datu ievade'!F95/1000*365</f>
        <v>230544.73254564987</v>
      </c>
      <c r="H51" s="119">
        <f>('Datu ievade'!G94-'Datu ievade'!G100-'Datu ievade'!G101)*'Datu ievade'!G95/1000*365</f>
        <v>230544.73254564987</v>
      </c>
      <c r="I51" s="119">
        <f>('Datu ievade'!H94-'Datu ievade'!H100-'Datu ievade'!H101)*'Datu ievade'!H95/1000*365</f>
        <v>230544.73254564987</v>
      </c>
      <c r="J51" s="119">
        <f>I51</f>
        <v>230544.73254564987</v>
      </c>
      <c r="K51" s="119">
        <f t="shared" ref="K51:AH51" si="14">J51</f>
        <v>230544.73254564987</v>
      </c>
      <c r="L51" s="119">
        <f t="shared" si="14"/>
        <v>230544.73254564987</v>
      </c>
      <c r="M51" s="119">
        <f t="shared" si="14"/>
        <v>230544.73254564987</v>
      </c>
      <c r="N51" s="119">
        <f t="shared" si="14"/>
        <v>230544.73254564987</v>
      </c>
      <c r="O51" s="119">
        <f t="shared" si="14"/>
        <v>230544.73254564987</v>
      </c>
      <c r="P51" s="119">
        <f t="shared" si="14"/>
        <v>230544.73254564987</v>
      </c>
      <c r="Q51" s="119">
        <f t="shared" si="14"/>
        <v>230544.73254564987</v>
      </c>
      <c r="R51" s="119">
        <f t="shared" si="14"/>
        <v>230544.73254564987</v>
      </c>
      <c r="S51" s="119">
        <f t="shared" si="14"/>
        <v>230544.73254564987</v>
      </c>
      <c r="T51" s="119">
        <f t="shared" si="14"/>
        <v>230544.73254564987</v>
      </c>
      <c r="U51" s="119">
        <f t="shared" si="14"/>
        <v>230544.73254564987</v>
      </c>
      <c r="V51" s="119">
        <f t="shared" si="14"/>
        <v>230544.73254564987</v>
      </c>
      <c r="W51" s="119">
        <f t="shared" si="14"/>
        <v>230544.73254564987</v>
      </c>
      <c r="X51" s="119">
        <f t="shared" si="14"/>
        <v>230544.73254564987</v>
      </c>
      <c r="Y51" s="119">
        <f t="shared" si="14"/>
        <v>230544.73254564987</v>
      </c>
      <c r="Z51" s="119">
        <f t="shared" si="14"/>
        <v>230544.73254564987</v>
      </c>
      <c r="AA51" s="119">
        <f t="shared" si="14"/>
        <v>230544.73254564987</v>
      </c>
      <c r="AB51" s="119">
        <f t="shared" si="14"/>
        <v>230544.73254564987</v>
      </c>
      <c r="AC51" s="119">
        <f t="shared" si="14"/>
        <v>230544.73254564987</v>
      </c>
      <c r="AD51" s="119">
        <f t="shared" si="14"/>
        <v>230544.73254564987</v>
      </c>
      <c r="AE51" s="119">
        <f t="shared" si="14"/>
        <v>230544.73254564987</v>
      </c>
      <c r="AF51" s="119">
        <f t="shared" si="14"/>
        <v>230544.73254564987</v>
      </c>
      <c r="AG51" s="119">
        <f t="shared" si="14"/>
        <v>230544.73254564987</v>
      </c>
      <c r="AH51" s="119">
        <f t="shared" si="14"/>
        <v>230544.73254564987</v>
      </c>
    </row>
    <row r="52" spans="1:34" ht="14.25" outlineLevel="1" x14ac:dyDescent="0.2">
      <c r="A52" s="421" t="s">
        <v>66</v>
      </c>
      <c r="B52" s="119">
        <f>'Datu ievade'!$B$82</f>
        <v>26144</v>
      </c>
      <c r="C52" s="119">
        <f>'Datu ievade'!B97</f>
        <v>26144</v>
      </c>
      <c r="D52" s="119">
        <f>'Datu ievade'!C97</f>
        <v>26144</v>
      </c>
      <c r="E52" s="119">
        <f>'Datu ievade'!D97</f>
        <v>26144</v>
      </c>
      <c r="F52" s="119">
        <f>'Datu ievade'!E97</f>
        <v>26144</v>
      </c>
      <c r="G52" s="119">
        <f>'Datu ievade'!F97</f>
        <v>26144</v>
      </c>
      <c r="H52" s="119">
        <f>'Datu ievade'!G97</f>
        <v>26144</v>
      </c>
      <c r="I52" s="119">
        <f>'Datu ievade'!H97</f>
        <v>26144</v>
      </c>
      <c r="J52" s="119">
        <f>I52</f>
        <v>26144</v>
      </c>
      <c r="K52" s="119">
        <f t="shared" ref="K52:AH52" si="15">J52</f>
        <v>26144</v>
      </c>
      <c r="L52" s="119">
        <f t="shared" si="15"/>
        <v>26144</v>
      </c>
      <c r="M52" s="119">
        <f t="shared" si="15"/>
        <v>26144</v>
      </c>
      <c r="N52" s="119">
        <f t="shared" si="15"/>
        <v>26144</v>
      </c>
      <c r="O52" s="119">
        <f t="shared" si="15"/>
        <v>26144</v>
      </c>
      <c r="P52" s="119">
        <f t="shared" si="15"/>
        <v>26144</v>
      </c>
      <c r="Q52" s="119">
        <f t="shared" si="15"/>
        <v>26144</v>
      </c>
      <c r="R52" s="119">
        <f t="shared" si="15"/>
        <v>26144</v>
      </c>
      <c r="S52" s="119">
        <f t="shared" si="15"/>
        <v>26144</v>
      </c>
      <c r="T52" s="119">
        <f t="shared" si="15"/>
        <v>26144</v>
      </c>
      <c r="U52" s="119">
        <f t="shared" si="15"/>
        <v>26144</v>
      </c>
      <c r="V52" s="119">
        <f t="shared" si="15"/>
        <v>26144</v>
      </c>
      <c r="W52" s="119">
        <f t="shared" si="15"/>
        <v>26144</v>
      </c>
      <c r="X52" s="119">
        <f t="shared" si="15"/>
        <v>26144</v>
      </c>
      <c r="Y52" s="119">
        <f t="shared" si="15"/>
        <v>26144</v>
      </c>
      <c r="Z52" s="119">
        <f t="shared" si="15"/>
        <v>26144</v>
      </c>
      <c r="AA52" s="119">
        <f t="shared" si="15"/>
        <v>26144</v>
      </c>
      <c r="AB52" s="119">
        <f t="shared" si="15"/>
        <v>26144</v>
      </c>
      <c r="AC52" s="119">
        <f t="shared" si="15"/>
        <v>26144</v>
      </c>
      <c r="AD52" s="119">
        <f t="shared" si="15"/>
        <v>26144</v>
      </c>
      <c r="AE52" s="119">
        <f t="shared" si="15"/>
        <v>26144</v>
      </c>
      <c r="AF52" s="119">
        <f t="shared" si="15"/>
        <v>26144</v>
      </c>
      <c r="AG52" s="119">
        <f t="shared" si="15"/>
        <v>26144</v>
      </c>
      <c r="AH52" s="119">
        <f t="shared" si="15"/>
        <v>26144</v>
      </c>
    </row>
    <row r="53" spans="1:34" ht="14.25" outlineLevel="1" x14ac:dyDescent="0.2">
      <c r="A53" s="421" t="s">
        <v>67</v>
      </c>
      <c r="B53" s="119">
        <f>'Datu ievade'!$B$83</f>
        <v>91735</v>
      </c>
      <c r="C53" s="119">
        <f>'Datu ievade'!B98</f>
        <v>91735</v>
      </c>
      <c r="D53" s="119">
        <f>'Datu ievade'!C98</f>
        <v>91735</v>
      </c>
      <c r="E53" s="119">
        <f>'Datu ievade'!D98</f>
        <v>91735</v>
      </c>
      <c r="F53" s="119">
        <f>'Datu ievade'!E98</f>
        <v>91735</v>
      </c>
      <c r="G53" s="119">
        <f>'Datu ievade'!F98</f>
        <v>91735</v>
      </c>
      <c r="H53" s="119">
        <f>'Datu ievade'!G98</f>
        <v>91735</v>
      </c>
      <c r="I53" s="119">
        <f>'Datu ievade'!H98</f>
        <v>91735</v>
      </c>
      <c r="J53" s="119">
        <f>I53</f>
        <v>91735</v>
      </c>
      <c r="K53" s="119">
        <f t="shared" ref="K53:AH53" si="16">J53</f>
        <v>91735</v>
      </c>
      <c r="L53" s="119">
        <f t="shared" si="16"/>
        <v>91735</v>
      </c>
      <c r="M53" s="119">
        <f t="shared" si="16"/>
        <v>91735</v>
      </c>
      <c r="N53" s="119">
        <f t="shared" si="16"/>
        <v>91735</v>
      </c>
      <c r="O53" s="119">
        <f t="shared" si="16"/>
        <v>91735</v>
      </c>
      <c r="P53" s="119">
        <f t="shared" si="16"/>
        <v>91735</v>
      </c>
      <c r="Q53" s="119">
        <f t="shared" si="16"/>
        <v>91735</v>
      </c>
      <c r="R53" s="119">
        <f t="shared" si="16"/>
        <v>91735</v>
      </c>
      <c r="S53" s="119">
        <f t="shared" si="16"/>
        <v>91735</v>
      </c>
      <c r="T53" s="119">
        <f t="shared" si="16"/>
        <v>91735</v>
      </c>
      <c r="U53" s="119">
        <f t="shared" si="16"/>
        <v>91735</v>
      </c>
      <c r="V53" s="119">
        <f t="shared" si="16"/>
        <v>91735</v>
      </c>
      <c r="W53" s="119">
        <f t="shared" si="16"/>
        <v>91735</v>
      </c>
      <c r="X53" s="119">
        <f t="shared" si="16"/>
        <v>91735</v>
      </c>
      <c r="Y53" s="119">
        <f t="shared" si="16"/>
        <v>91735</v>
      </c>
      <c r="Z53" s="119">
        <f t="shared" si="16"/>
        <v>91735</v>
      </c>
      <c r="AA53" s="119">
        <f t="shared" si="16"/>
        <v>91735</v>
      </c>
      <c r="AB53" s="119">
        <f t="shared" si="16"/>
        <v>91735</v>
      </c>
      <c r="AC53" s="119">
        <f t="shared" si="16"/>
        <v>91735</v>
      </c>
      <c r="AD53" s="119">
        <f t="shared" si="16"/>
        <v>91735</v>
      </c>
      <c r="AE53" s="119">
        <f t="shared" si="16"/>
        <v>91735</v>
      </c>
      <c r="AF53" s="119">
        <f t="shared" si="16"/>
        <v>91735</v>
      </c>
      <c r="AG53" s="119">
        <f t="shared" si="16"/>
        <v>91735</v>
      </c>
      <c r="AH53" s="119">
        <f t="shared" si="16"/>
        <v>91735</v>
      </c>
    </row>
    <row r="54" spans="1:34" ht="14.25" outlineLevel="1" x14ac:dyDescent="0.2">
      <c r="A54" s="307" t="s">
        <v>68</v>
      </c>
      <c r="B54" s="119">
        <f t="shared" ref="B54:AH54" si="17">SUM(B51:B53)</f>
        <v>344194</v>
      </c>
      <c r="C54" s="119">
        <f t="shared" si="17"/>
        <v>344534.32330827066</v>
      </c>
      <c r="D54" s="119">
        <f t="shared" si="17"/>
        <v>345214.96992481209</v>
      </c>
      <c r="E54" s="119">
        <f t="shared" si="17"/>
        <v>345992.85177228786</v>
      </c>
      <c r="F54" s="119">
        <f t="shared" si="17"/>
        <v>347499.99785177229</v>
      </c>
      <c r="G54" s="119">
        <f t="shared" si="17"/>
        <v>348423.73254564987</v>
      </c>
      <c r="H54" s="119">
        <f t="shared" si="17"/>
        <v>348423.73254564987</v>
      </c>
      <c r="I54" s="119">
        <f t="shared" si="17"/>
        <v>348423.73254564987</v>
      </c>
      <c r="J54" s="119">
        <f t="shared" si="17"/>
        <v>348423.73254564987</v>
      </c>
      <c r="K54" s="119">
        <f t="shared" si="17"/>
        <v>348423.73254564987</v>
      </c>
      <c r="L54" s="119">
        <f t="shared" si="17"/>
        <v>348423.73254564987</v>
      </c>
      <c r="M54" s="119">
        <f t="shared" si="17"/>
        <v>348423.73254564987</v>
      </c>
      <c r="N54" s="119">
        <f t="shared" si="17"/>
        <v>348423.73254564987</v>
      </c>
      <c r="O54" s="119">
        <f t="shared" si="17"/>
        <v>348423.73254564987</v>
      </c>
      <c r="P54" s="119">
        <f t="shared" si="17"/>
        <v>348423.73254564987</v>
      </c>
      <c r="Q54" s="119">
        <f t="shared" si="17"/>
        <v>348423.73254564987</v>
      </c>
      <c r="R54" s="119">
        <f t="shared" si="17"/>
        <v>348423.73254564987</v>
      </c>
      <c r="S54" s="119">
        <f t="shared" si="17"/>
        <v>348423.73254564987</v>
      </c>
      <c r="T54" s="119">
        <f t="shared" si="17"/>
        <v>348423.73254564987</v>
      </c>
      <c r="U54" s="119">
        <f t="shared" si="17"/>
        <v>348423.73254564987</v>
      </c>
      <c r="V54" s="119">
        <f t="shared" si="17"/>
        <v>348423.73254564987</v>
      </c>
      <c r="W54" s="119">
        <f t="shared" si="17"/>
        <v>348423.73254564987</v>
      </c>
      <c r="X54" s="119">
        <f t="shared" si="17"/>
        <v>348423.73254564987</v>
      </c>
      <c r="Y54" s="119">
        <f t="shared" si="17"/>
        <v>348423.73254564987</v>
      </c>
      <c r="Z54" s="119">
        <f t="shared" si="17"/>
        <v>348423.73254564987</v>
      </c>
      <c r="AA54" s="119">
        <f t="shared" si="17"/>
        <v>348423.73254564987</v>
      </c>
      <c r="AB54" s="119">
        <f t="shared" si="17"/>
        <v>348423.73254564987</v>
      </c>
      <c r="AC54" s="119">
        <f t="shared" si="17"/>
        <v>348423.73254564987</v>
      </c>
      <c r="AD54" s="119">
        <f t="shared" si="17"/>
        <v>348423.73254564987</v>
      </c>
      <c r="AE54" s="119">
        <f t="shared" si="17"/>
        <v>348423.73254564987</v>
      </c>
      <c r="AF54" s="119">
        <f t="shared" si="17"/>
        <v>348423.73254564987</v>
      </c>
      <c r="AG54" s="119">
        <f t="shared" si="17"/>
        <v>348423.73254564987</v>
      </c>
      <c r="AH54" s="119">
        <f t="shared" si="17"/>
        <v>348423.73254564987</v>
      </c>
    </row>
    <row r="55" spans="1:34" outlineLevel="1" x14ac:dyDescent="0.2">
      <c r="A55" s="307"/>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row>
    <row r="56" spans="1:34" outlineLevel="1" x14ac:dyDescent="0.2">
      <c r="A56" s="307" t="s">
        <v>69</v>
      </c>
      <c r="B56" s="119">
        <f>SUM(Aprēķini!B25:B28)</f>
        <v>170861</v>
      </c>
      <c r="C56" s="119">
        <f>SUM(Aprēķini!C25:C28)</f>
        <v>170861</v>
      </c>
      <c r="D56" s="119">
        <f>SUM(Aprēķini!D25:D28)</f>
        <v>170718</v>
      </c>
      <c r="E56" s="119">
        <f>SUM(Aprēķini!E25:E28)</f>
        <v>170478</v>
      </c>
      <c r="F56" s="119">
        <f>SUM(Aprēķini!F25:F28)</f>
        <v>170478</v>
      </c>
      <c r="G56" s="119">
        <f>SUM(Aprēķini!G25:G28)</f>
        <v>170478</v>
      </c>
      <c r="H56" s="119">
        <f>SUM(Aprēķini!H25:H28)</f>
        <v>170478</v>
      </c>
      <c r="I56" s="119">
        <f>SUM(Aprēķini!I25:I28)</f>
        <v>170478</v>
      </c>
      <c r="J56" s="119">
        <f>SUM(Aprēķini!J25:J28)</f>
        <v>170478</v>
      </c>
      <c r="K56" s="119">
        <f>SUM(Aprēķini!K25:K28)</f>
        <v>170478</v>
      </c>
      <c r="L56" s="119">
        <f>SUM(Aprēķini!L25:L28)</f>
        <v>170478</v>
      </c>
      <c r="M56" s="119">
        <f>SUM(Aprēķini!M25:M28)</f>
        <v>170478</v>
      </c>
      <c r="N56" s="119">
        <f>SUM(Aprēķini!N25:N28)</f>
        <v>169599</v>
      </c>
      <c r="O56" s="119">
        <f>SUM(Aprēķini!O25:O28)</f>
        <v>158037</v>
      </c>
      <c r="P56" s="119">
        <f>SUM(Aprēķini!P25:P28)</f>
        <v>158037</v>
      </c>
      <c r="Q56" s="119">
        <f>SUM(Aprēķini!Q25:Q28)</f>
        <v>158037</v>
      </c>
      <c r="R56" s="119">
        <f>SUM(Aprēķini!R25:R28)</f>
        <v>78632</v>
      </c>
      <c r="S56" s="119">
        <f>SUM(Aprēķini!S25:S28)</f>
        <v>60300</v>
      </c>
      <c r="T56" s="119">
        <f>SUM(Aprēķini!T25:T28)</f>
        <v>60300</v>
      </c>
      <c r="U56" s="119">
        <f>SUM(Aprēķini!U25:U28)</f>
        <v>60300</v>
      </c>
      <c r="V56" s="119">
        <f>SUM(Aprēķini!V25:V28)</f>
        <v>60300</v>
      </c>
      <c r="W56" s="119">
        <f>SUM(Aprēķini!W25:W28)</f>
        <v>60300</v>
      </c>
      <c r="X56" s="119">
        <f>SUM(Aprēķini!X25:X28)</f>
        <v>60300</v>
      </c>
      <c r="Y56" s="119">
        <f>SUM(Aprēķini!Y25:Y28)</f>
        <v>60300</v>
      </c>
      <c r="Z56" s="119">
        <f>SUM(Aprēķini!Z25:Z28)</f>
        <v>60300</v>
      </c>
      <c r="AA56" s="119">
        <f>SUM(Aprēķini!AA25:AA28)</f>
        <v>60300</v>
      </c>
      <c r="AB56" s="119">
        <f>SUM(Aprēķini!AB25:AB28)</f>
        <v>60300</v>
      </c>
      <c r="AC56" s="119">
        <f>SUM(Aprēķini!AC25:AC28)</f>
        <v>60300</v>
      </c>
      <c r="AD56" s="119">
        <f>SUM(Aprēķini!AD25:AD28)</f>
        <v>60300</v>
      </c>
      <c r="AE56" s="119">
        <f>SUM(Aprēķini!AE25:AE28)</f>
        <v>60300</v>
      </c>
      <c r="AF56" s="119">
        <f>SUM(Aprēķini!AF25:AF28)</f>
        <v>60300</v>
      </c>
      <c r="AG56" s="119">
        <f>SUM(Aprēķini!AG25:AG28)</f>
        <v>60300</v>
      </c>
      <c r="AH56" s="119">
        <f>SUM(Aprēķini!AH25:AH28)</f>
        <v>60300</v>
      </c>
    </row>
    <row r="57" spans="1:34" ht="14.25" outlineLevel="1" x14ac:dyDescent="0.2">
      <c r="A57" s="421" t="s">
        <v>70</v>
      </c>
      <c r="B57" s="119">
        <f>'Datu ievade'!$B$86*'Datu ievade'!$B$87/1000*365</f>
        <v>228365</v>
      </c>
      <c r="C57" s="119">
        <f>('Datu ievade'!B108-'Datu ievade'!B114-'Datu ievade'!B115)*'Datu ievade'!B109/1000*365</f>
        <v>229063.83140480061</v>
      </c>
      <c r="D57" s="119">
        <f>('Datu ievade'!C108-'Datu ievade'!C114-'Datu ievade'!C115)*'Datu ievade'!C109/1000*365</f>
        <v>230679.87902840204</v>
      </c>
      <c r="E57" s="119">
        <f>('Datu ievade'!D108-'Datu ievade'!D114-'Datu ievade'!D115)*'Datu ievade'!D109/1000*365</f>
        <v>233475.20464760446</v>
      </c>
      <c r="F57" s="119">
        <f>('Datu ievade'!E108-'Datu ievade'!E114-'Datu ievade'!E115)*'Datu ievade'!E109/1000*365</f>
        <v>238694.60170220907</v>
      </c>
      <c r="G57" s="119">
        <f>('Datu ievade'!F108-'Datu ievade'!F114-'Datu ievade'!F115)*'Datu ievade'!F109/1000*365</f>
        <v>243935.83723821363</v>
      </c>
      <c r="H57" s="119">
        <f>('Datu ievade'!G108-'Datu ievade'!G114-'Datu ievade'!G115)*'Datu ievade'!G109/1000*365</f>
        <v>248325.37199961746</v>
      </c>
      <c r="I57" s="119">
        <f>('Datu ievade'!H108-'Datu ievade'!H114-'Datu ievade'!H115)*'Datu ievade'!H109/1000*365</f>
        <v>248325.37199961746</v>
      </c>
      <c r="J57" s="119">
        <f>I57</f>
        <v>248325.37199961746</v>
      </c>
      <c r="K57" s="119">
        <f t="shared" ref="K57:AH57" si="18">J57</f>
        <v>248325.37199961746</v>
      </c>
      <c r="L57" s="119">
        <f t="shared" si="18"/>
        <v>248325.37199961746</v>
      </c>
      <c r="M57" s="119">
        <f t="shared" si="18"/>
        <v>248325.37199961746</v>
      </c>
      <c r="N57" s="119">
        <f t="shared" si="18"/>
        <v>248325.37199961746</v>
      </c>
      <c r="O57" s="119">
        <f t="shared" si="18"/>
        <v>248325.37199961746</v>
      </c>
      <c r="P57" s="119">
        <f t="shared" si="18"/>
        <v>248325.37199961746</v>
      </c>
      <c r="Q57" s="119">
        <f t="shared" si="18"/>
        <v>248325.37199961746</v>
      </c>
      <c r="R57" s="119">
        <f t="shared" si="18"/>
        <v>248325.37199961746</v>
      </c>
      <c r="S57" s="119">
        <f t="shared" si="18"/>
        <v>248325.37199961746</v>
      </c>
      <c r="T57" s="119">
        <f t="shared" si="18"/>
        <v>248325.37199961746</v>
      </c>
      <c r="U57" s="119">
        <f t="shared" si="18"/>
        <v>248325.37199961746</v>
      </c>
      <c r="V57" s="119">
        <f t="shared" si="18"/>
        <v>248325.37199961746</v>
      </c>
      <c r="W57" s="119">
        <f t="shared" si="18"/>
        <v>248325.37199961746</v>
      </c>
      <c r="X57" s="119">
        <f t="shared" si="18"/>
        <v>248325.37199961746</v>
      </c>
      <c r="Y57" s="119">
        <f t="shared" si="18"/>
        <v>248325.37199961746</v>
      </c>
      <c r="Z57" s="119">
        <f t="shared" si="18"/>
        <v>248325.37199961746</v>
      </c>
      <c r="AA57" s="119">
        <f t="shared" si="18"/>
        <v>248325.37199961746</v>
      </c>
      <c r="AB57" s="119">
        <f t="shared" si="18"/>
        <v>248325.37199961746</v>
      </c>
      <c r="AC57" s="119">
        <f t="shared" si="18"/>
        <v>248325.37199961746</v>
      </c>
      <c r="AD57" s="119">
        <f t="shared" si="18"/>
        <v>248325.37199961746</v>
      </c>
      <c r="AE57" s="119">
        <f t="shared" si="18"/>
        <v>248325.37199961746</v>
      </c>
      <c r="AF57" s="119">
        <f t="shared" si="18"/>
        <v>248325.37199961746</v>
      </c>
      <c r="AG57" s="119">
        <f t="shared" si="18"/>
        <v>248325.37199961746</v>
      </c>
      <c r="AH57" s="119">
        <f t="shared" si="18"/>
        <v>248325.37199961746</v>
      </c>
    </row>
    <row r="58" spans="1:34" ht="14.25" outlineLevel="1" x14ac:dyDescent="0.2">
      <c r="A58" s="421" t="s">
        <v>71</v>
      </c>
      <c r="B58" s="119">
        <f>'Datu ievade'!$B$88</f>
        <v>25184</v>
      </c>
      <c r="C58" s="119">
        <f>'Datu ievade'!B111</f>
        <v>25184</v>
      </c>
      <c r="D58" s="119">
        <f>'Datu ievade'!C111</f>
        <v>25184</v>
      </c>
      <c r="E58" s="119">
        <f>'Datu ievade'!D111</f>
        <v>25184</v>
      </c>
      <c r="F58" s="119">
        <f>'Datu ievade'!E111</f>
        <v>25184</v>
      </c>
      <c r="G58" s="119">
        <f>'Datu ievade'!F111</f>
        <v>25184</v>
      </c>
      <c r="H58" s="119">
        <f>'Datu ievade'!G111</f>
        <v>25184</v>
      </c>
      <c r="I58" s="119">
        <f>'Datu ievade'!H111</f>
        <v>25184</v>
      </c>
      <c r="J58" s="119">
        <f>I58</f>
        <v>25184</v>
      </c>
      <c r="K58" s="119">
        <f t="shared" ref="K58:R58" si="19">J58</f>
        <v>25184</v>
      </c>
      <c r="L58" s="119">
        <f t="shared" si="19"/>
        <v>25184</v>
      </c>
      <c r="M58" s="119">
        <f t="shared" si="19"/>
        <v>25184</v>
      </c>
      <c r="N58" s="119">
        <f t="shared" si="19"/>
        <v>25184</v>
      </c>
      <c r="O58" s="119">
        <f t="shared" si="19"/>
        <v>25184</v>
      </c>
      <c r="P58" s="119">
        <f t="shared" si="19"/>
        <v>25184</v>
      </c>
      <c r="Q58" s="119">
        <f t="shared" si="19"/>
        <v>25184</v>
      </c>
      <c r="R58" s="119">
        <f t="shared" si="19"/>
        <v>25184</v>
      </c>
      <c r="S58" s="119">
        <f t="shared" ref="S58:AH58" si="20">R58</f>
        <v>25184</v>
      </c>
      <c r="T58" s="119">
        <f t="shared" si="20"/>
        <v>25184</v>
      </c>
      <c r="U58" s="119">
        <f t="shared" si="20"/>
        <v>25184</v>
      </c>
      <c r="V58" s="119">
        <f t="shared" si="20"/>
        <v>25184</v>
      </c>
      <c r="W58" s="119">
        <f t="shared" si="20"/>
        <v>25184</v>
      </c>
      <c r="X58" s="119">
        <f t="shared" si="20"/>
        <v>25184</v>
      </c>
      <c r="Y58" s="119">
        <f t="shared" si="20"/>
        <v>25184</v>
      </c>
      <c r="Z58" s="119">
        <f t="shared" si="20"/>
        <v>25184</v>
      </c>
      <c r="AA58" s="119">
        <f t="shared" si="20"/>
        <v>25184</v>
      </c>
      <c r="AB58" s="119">
        <f t="shared" si="20"/>
        <v>25184</v>
      </c>
      <c r="AC58" s="119">
        <f t="shared" si="20"/>
        <v>25184</v>
      </c>
      <c r="AD58" s="119">
        <f t="shared" si="20"/>
        <v>25184</v>
      </c>
      <c r="AE58" s="119">
        <f t="shared" si="20"/>
        <v>25184</v>
      </c>
      <c r="AF58" s="119">
        <f t="shared" si="20"/>
        <v>25184</v>
      </c>
      <c r="AG58" s="119">
        <f t="shared" si="20"/>
        <v>25184</v>
      </c>
      <c r="AH58" s="119">
        <f t="shared" si="20"/>
        <v>25184</v>
      </c>
    </row>
    <row r="59" spans="1:34" ht="14.25" outlineLevel="1" x14ac:dyDescent="0.2">
      <c r="A59" s="421" t="s">
        <v>72</v>
      </c>
      <c r="B59" s="119">
        <f>'Datu ievade'!$B$89</f>
        <v>73343</v>
      </c>
      <c r="C59" s="119">
        <f>'Datu ievade'!B112</f>
        <v>73343</v>
      </c>
      <c r="D59" s="119">
        <f>'Datu ievade'!C112</f>
        <v>73343</v>
      </c>
      <c r="E59" s="119">
        <f>'Datu ievade'!D112</f>
        <v>73343</v>
      </c>
      <c r="F59" s="119">
        <f>'Datu ievade'!E112</f>
        <v>73343</v>
      </c>
      <c r="G59" s="119">
        <f>'Datu ievade'!F112</f>
        <v>73343</v>
      </c>
      <c r="H59" s="119">
        <f>'Datu ievade'!G112</f>
        <v>73343</v>
      </c>
      <c r="I59" s="119">
        <f>'Datu ievade'!H112</f>
        <v>73343</v>
      </c>
      <c r="J59" s="119">
        <f>I59</f>
        <v>73343</v>
      </c>
      <c r="K59" s="119">
        <f t="shared" ref="K59:R59" si="21">J59</f>
        <v>73343</v>
      </c>
      <c r="L59" s="119">
        <f t="shared" si="21"/>
        <v>73343</v>
      </c>
      <c r="M59" s="119">
        <f t="shared" si="21"/>
        <v>73343</v>
      </c>
      <c r="N59" s="119">
        <f t="shared" si="21"/>
        <v>73343</v>
      </c>
      <c r="O59" s="119">
        <f t="shared" si="21"/>
        <v>73343</v>
      </c>
      <c r="P59" s="119">
        <f t="shared" si="21"/>
        <v>73343</v>
      </c>
      <c r="Q59" s="119">
        <f t="shared" si="21"/>
        <v>73343</v>
      </c>
      <c r="R59" s="119">
        <f t="shared" si="21"/>
        <v>73343</v>
      </c>
      <c r="S59" s="119">
        <f t="shared" ref="S59:AH59" si="22">R59</f>
        <v>73343</v>
      </c>
      <c r="T59" s="119">
        <f t="shared" si="22"/>
        <v>73343</v>
      </c>
      <c r="U59" s="119">
        <f t="shared" si="22"/>
        <v>73343</v>
      </c>
      <c r="V59" s="119">
        <f t="shared" si="22"/>
        <v>73343</v>
      </c>
      <c r="W59" s="119">
        <f t="shared" si="22"/>
        <v>73343</v>
      </c>
      <c r="X59" s="119">
        <f t="shared" si="22"/>
        <v>73343</v>
      </c>
      <c r="Y59" s="119">
        <f t="shared" si="22"/>
        <v>73343</v>
      </c>
      <c r="Z59" s="119">
        <f t="shared" si="22"/>
        <v>73343</v>
      </c>
      <c r="AA59" s="119">
        <f t="shared" si="22"/>
        <v>73343</v>
      </c>
      <c r="AB59" s="119">
        <f t="shared" si="22"/>
        <v>73343</v>
      </c>
      <c r="AC59" s="119">
        <f t="shared" si="22"/>
        <v>73343</v>
      </c>
      <c r="AD59" s="119">
        <f t="shared" si="22"/>
        <v>73343</v>
      </c>
      <c r="AE59" s="119">
        <f t="shared" si="22"/>
        <v>73343</v>
      </c>
      <c r="AF59" s="119">
        <f t="shared" si="22"/>
        <v>73343</v>
      </c>
      <c r="AG59" s="119">
        <f t="shared" si="22"/>
        <v>73343</v>
      </c>
      <c r="AH59" s="119">
        <f t="shared" si="22"/>
        <v>73343</v>
      </c>
    </row>
    <row r="60" spans="1:34" ht="14.25" outlineLevel="1" x14ac:dyDescent="0.2">
      <c r="A60" s="307" t="s">
        <v>73</v>
      </c>
      <c r="B60" s="119">
        <f>SUM(B57:B59)</f>
        <v>326892</v>
      </c>
      <c r="C60" s="119">
        <f>SUM(C57:C59)</f>
        <v>327590.83140480064</v>
      </c>
      <c r="D60" s="119">
        <f t="shared" ref="D60:J60" si="23">SUM(D57:D59)</f>
        <v>329206.87902840204</v>
      </c>
      <c r="E60" s="119">
        <f t="shared" si="23"/>
        <v>332002.20464760449</v>
      </c>
      <c r="F60" s="119">
        <f t="shared" si="23"/>
        <v>337221.6017022091</v>
      </c>
      <c r="G60" s="119">
        <f t="shared" si="23"/>
        <v>342462.83723821363</v>
      </c>
      <c r="H60" s="119">
        <f t="shared" si="23"/>
        <v>346852.37199961743</v>
      </c>
      <c r="I60" s="119">
        <f t="shared" si="23"/>
        <v>346852.37199961743</v>
      </c>
      <c r="J60" s="119">
        <f t="shared" si="23"/>
        <v>346852.37199961743</v>
      </c>
      <c r="K60" s="119">
        <f t="shared" ref="K60:AH60" si="24">SUM(K57:K59)</f>
        <v>346852.37199961743</v>
      </c>
      <c r="L60" s="119">
        <f t="shared" si="24"/>
        <v>346852.37199961743</v>
      </c>
      <c r="M60" s="119">
        <f t="shared" si="24"/>
        <v>346852.37199961743</v>
      </c>
      <c r="N60" s="119">
        <f t="shared" si="24"/>
        <v>346852.37199961743</v>
      </c>
      <c r="O60" s="119">
        <f t="shared" si="24"/>
        <v>346852.37199961743</v>
      </c>
      <c r="P60" s="119">
        <f t="shared" si="24"/>
        <v>346852.37199961743</v>
      </c>
      <c r="Q60" s="119">
        <f t="shared" si="24"/>
        <v>346852.37199961743</v>
      </c>
      <c r="R60" s="119">
        <f t="shared" si="24"/>
        <v>346852.37199961743</v>
      </c>
      <c r="S60" s="119">
        <f t="shared" si="24"/>
        <v>346852.37199961743</v>
      </c>
      <c r="T60" s="119">
        <f t="shared" si="24"/>
        <v>346852.37199961743</v>
      </c>
      <c r="U60" s="119">
        <f t="shared" si="24"/>
        <v>346852.37199961743</v>
      </c>
      <c r="V60" s="119">
        <f t="shared" si="24"/>
        <v>346852.37199961743</v>
      </c>
      <c r="W60" s="119">
        <f t="shared" si="24"/>
        <v>346852.37199961743</v>
      </c>
      <c r="X60" s="119">
        <f t="shared" si="24"/>
        <v>346852.37199961743</v>
      </c>
      <c r="Y60" s="119">
        <f t="shared" si="24"/>
        <v>346852.37199961743</v>
      </c>
      <c r="Z60" s="119">
        <f t="shared" si="24"/>
        <v>346852.37199961743</v>
      </c>
      <c r="AA60" s="119">
        <f t="shared" si="24"/>
        <v>346852.37199961743</v>
      </c>
      <c r="AB60" s="119">
        <f t="shared" si="24"/>
        <v>346852.37199961743</v>
      </c>
      <c r="AC60" s="119">
        <f t="shared" si="24"/>
        <v>346852.37199961743</v>
      </c>
      <c r="AD60" s="119">
        <f t="shared" si="24"/>
        <v>346852.37199961743</v>
      </c>
      <c r="AE60" s="119">
        <f t="shared" si="24"/>
        <v>346852.37199961743</v>
      </c>
      <c r="AF60" s="119">
        <f t="shared" si="24"/>
        <v>346852.37199961743</v>
      </c>
      <c r="AG60" s="119">
        <f t="shared" si="24"/>
        <v>346852.37199961743</v>
      </c>
      <c r="AH60" s="119">
        <f t="shared" si="24"/>
        <v>346852.37199961743</v>
      </c>
    </row>
    <row r="61" spans="1:34" outlineLevel="1" x14ac:dyDescent="0.2">
      <c r="A61" s="118"/>
      <c r="B61" s="110"/>
      <c r="C61" s="110"/>
      <c r="D61" s="110"/>
      <c r="E61" s="110"/>
      <c r="F61" s="110"/>
      <c r="G61" s="110"/>
      <c r="H61" s="110"/>
      <c r="I61" s="290"/>
      <c r="J61" s="290"/>
      <c r="K61" s="290"/>
      <c r="L61" s="290"/>
      <c r="M61" s="290"/>
      <c r="N61" s="290"/>
      <c r="O61" s="290"/>
      <c r="P61" s="290"/>
      <c r="Q61" s="290"/>
      <c r="R61" s="290"/>
      <c r="S61" s="290"/>
      <c r="T61" s="290"/>
      <c r="U61" s="290"/>
      <c r="V61" s="290"/>
      <c r="W61" s="290"/>
      <c r="X61" s="290"/>
      <c r="Y61" s="290"/>
      <c r="Z61" s="290"/>
      <c r="AA61" s="290"/>
      <c r="AB61" s="290"/>
      <c r="AC61" s="290"/>
      <c r="AD61" s="290"/>
      <c r="AE61" s="290"/>
      <c r="AF61" s="290"/>
      <c r="AG61" s="290"/>
      <c r="AH61" s="290"/>
    </row>
    <row r="62" spans="1:34" ht="14.25" outlineLevel="1" x14ac:dyDescent="0.2">
      <c r="A62" s="527" t="s">
        <v>74</v>
      </c>
      <c r="B62" s="528">
        <f>'Datu ievade'!B198</f>
        <v>0.97</v>
      </c>
      <c r="C62" s="528">
        <f>'Datu ievade'!C198</f>
        <v>0.97</v>
      </c>
      <c r="D62" s="529"/>
      <c r="E62" s="529"/>
      <c r="F62" s="529"/>
      <c r="G62" s="529"/>
      <c r="H62" s="529"/>
      <c r="I62" s="529"/>
      <c r="J62" s="529"/>
      <c r="K62" s="529"/>
      <c r="L62" s="529"/>
      <c r="M62" s="529"/>
      <c r="N62" s="529"/>
      <c r="O62" s="529"/>
      <c r="P62" s="529"/>
      <c r="Q62" s="529"/>
      <c r="R62" s="529"/>
      <c r="S62" s="529"/>
      <c r="T62" s="529"/>
      <c r="U62" s="529"/>
      <c r="V62" s="529"/>
      <c r="W62" s="529"/>
      <c r="X62" s="529"/>
      <c r="Y62" s="529"/>
      <c r="Z62" s="529"/>
      <c r="AA62" s="529"/>
      <c r="AB62" s="529"/>
      <c r="AC62" s="529"/>
      <c r="AD62" s="529"/>
      <c r="AE62" s="529"/>
      <c r="AF62" s="529"/>
      <c r="AG62" s="529"/>
      <c r="AH62" s="529"/>
    </row>
    <row r="63" spans="1:34" ht="14.25" outlineLevel="1" x14ac:dyDescent="0.2">
      <c r="A63" s="527" t="s">
        <v>76</v>
      </c>
      <c r="B63" s="528">
        <f>'Datu ievade'!B201</f>
        <v>0.97</v>
      </c>
      <c r="C63" s="528">
        <f>'Datu ievade'!C201</f>
        <v>0.97</v>
      </c>
      <c r="D63" s="530"/>
      <c r="E63" s="530"/>
      <c r="F63" s="530"/>
      <c r="G63" s="530"/>
      <c r="H63" s="530"/>
      <c r="I63" s="530"/>
      <c r="J63" s="530"/>
      <c r="K63" s="530"/>
      <c r="L63" s="530"/>
      <c r="M63" s="530"/>
      <c r="N63" s="530"/>
      <c r="O63" s="530"/>
      <c r="P63" s="530"/>
      <c r="Q63" s="530"/>
      <c r="R63" s="530"/>
      <c r="S63" s="530"/>
      <c r="T63" s="530"/>
      <c r="U63" s="530"/>
      <c r="V63" s="530"/>
      <c r="W63" s="530"/>
      <c r="X63" s="530"/>
      <c r="Y63" s="530"/>
      <c r="Z63" s="530"/>
      <c r="AA63" s="530"/>
      <c r="AB63" s="530"/>
      <c r="AC63" s="530"/>
      <c r="AD63" s="530"/>
      <c r="AE63" s="530"/>
      <c r="AF63" s="530"/>
      <c r="AG63" s="530"/>
      <c r="AH63" s="530"/>
    </row>
    <row r="64" spans="1:34" ht="14.25" outlineLevel="1" x14ac:dyDescent="0.2">
      <c r="A64" s="531" t="s">
        <v>77</v>
      </c>
      <c r="B64" s="532">
        <f>(B62*B51+B63*B52+B63*B53)/B54</f>
        <v>0.97</v>
      </c>
      <c r="C64" s="532">
        <f>(C62*C51+C63*C52+C63*C53)/C54</f>
        <v>0.97000000000000008</v>
      </c>
      <c r="D64" s="528">
        <f>ROUND((1+$B$49)*((SUM(D9:D13,D24:D26)+D50)/D54),3)</f>
        <v>0.98</v>
      </c>
      <c r="E64" s="528">
        <f>ROUND((1+$B$49)*((SUM(E9:E13,E24:E26)+E50)/E54),3)</f>
        <v>0.99199999999999999</v>
      </c>
      <c r="F64" s="528">
        <f>ROUND((1+$B$49)*((SUM(F9:F13,F24:F26)+F50)/F54),3)</f>
        <v>1.0029999999999999</v>
      </c>
      <c r="G64" s="528">
        <f>ROUND((1+$B$49)*((SUM(G9:G13,G24:G26)+G50)/G54),3)</f>
        <v>1.014</v>
      </c>
      <c r="H64" s="528">
        <f>ROUND((1+$B$49)*((SUM(H9:H13,H24:H26)+H50)/H54),3)</f>
        <v>1.028</v>
      </c>
      <c r="I64" s="528">
        <f t="shared" ref="I64:N64" si="25">ROUND((1+$B$49)*((SUM(I9:I13,I24:I26)+I50)/I54),3)</f>
        <v>1.042</v>
      </c>
      <c r="J64" s="528">
        <f t="shared" si="25"/>
        <v>1.0549999999999999</v>
      </c>
      <c r="K64" s="528">
        <f t="shared" si="25"/>
        <v>1.069</v>
      </c>
      <c r="L64" s="528">
        <f t="shared" si="25"/>
        <v>1.087</v>
      </c>
      <c r="M64" s="528">
        <f t="shared" si="25"/>
        <v>1.1040000000000001</v>
      </c>
      <c r="N64" s="528">
        <f t="shared" si="25"/>
        <v>1.1060000000000001</v>
      </c>
      <c r="O64" s="528">
        <f t="shared" ref="O64:X64" si="26">ROUND((1+$B$49)*((SUM(O9:O13,O24:O26)+O50)/O54),3)</f>
        <v>1.1080000000000001</v>
      </c>
      <c r="P64" s="528">
        <f t="shared" si="26"/>
        <v>1.1279999999999999</v>
      </c>
      <c r="Q64" s="528">
        <f t="shared" si="26"/>
        <v>1.1379999999999999</v>
      </c>
      <c r="R64" s="528">
        <f t="shared" si="26"/>
        <v>1.1419999999999999</v>
      </c>
      <c r="S64" s="528">
        <f t="shared" si="26"/>
        <v>1.163</v>
      </c>
      <c r="T64" s="528">
        <f t="shared" si="26"/>
        <v>1.1839999999999999</v>
      </c>
      <c r="U64" s="528">
        <f t="shared" si="26"/>
        <v>1.204</v>
      </c>
      <c r="V64" s="528">
        <f t="shared" si="26"/>
        <v>1.2250000000000001</v>
      </c>
      <c r="W64" s="528">
        <f t="shared" si="26"/>
        <v>1.246</v>
      </c>
      <c r="X64" s="528">
        <f t="shared" si="26"/>
        <v>1.2669999999999999</v>
      </c>
      <c r="Y64" s="528">
        <f t="shared" ref="Y64:AH64" si="27">ROUND((1+$B$49)*((SUM(Y9:Y13,Y24:Y26)+Y50)/Y54),3)</f>
        <v>1.288</v>
      </c>
      <c r="Z64" s="528">
        <f t="shared" si="27"/>
        <v>1.3089999999999999</v>
      </c>
      <c r="AA64" s="528">
        <f t="shared" si="27"/>
        <v>1.33</v>
      </c>
      <c r="AB64" s="528">
        <f t="shared" si="27"/>
        <v>1.355</v>
      </c>
      <c r="AC64" s="528">
        <f t="shared" si="27"/>
        <v>1.379</v>
      </c>
      <c r="AD64" s="528">
        <f t="shared" si="27"/>
        <v>1.4039999999999999</v>
      </c>
      <c r="AE64" s="528">
        <f t="shared" si="27"/>
        <v>1.429</v>
      </c>
      <c r="AF64" s="528">
        <f t="shared" si="27"/>
        <v>1.4570000000000001</v>
      </c>
      <c r="AG64" s="528">
        <f t="shared" si="27"/>
        <v>1.4850000000000001</v>
      </c>
      <c r="AH64" s="528">
        <f t="shared" si="27"/>
        <v>1.5129999999999999</v>
      </c>
    </row>
    <row r="65" spans="1:34" ht="14.25" outlineLevel="1" x14ac:dyDescent="0.2">
      <c r="A65" s="527" t="s">
        <v>78</v>
      </c>
      <c r="B65" s="528">
        <f>'Datu ievade'!B199</f>
        <v>1.5</v>
      </c>
      <c r="C65" s="528">
        <f>'Datu ievade'!C199</f>
        <v>1.5</v>
      </c>
      <c r="D65" s="528"/>
      <c r="E65" s="528"/>
      <c r="F65" s="528"/>
      <c r="G65" s="528"/>
      <c r="H65" s="528"/>
      <c r="I65" s="528"/>
      <c r="J65" s="528"/>
      <c r="K65" s="528"/>
      <c r="L65" s="528"/>
      <c r="M65" s="528"/>
      <c r="N65" s="528"/>
      <c r="O65" s="528"/>
      <c r="P65" s="528"/>
      <c r="Q65" s="528"/>
      <c r="R65" s="528"/>
      <c r="S65" s="528"/>
      <c r="T65" s="528"/>
      <c r="U65" s="528"/>
      <c r="V65" s="528"/>
      <c r="W65" s="528"/>
      <c r="X65" s="528"/>
      <c r="Y65" s="528"/>
      <c r="Z65" s="528"/>
      <c r="AA65" s="528"/>
      <c r="AB65" s="528"/>
      <c r="AC65" s="528"/>
      <c r="AD65" s="528"/>
      <c r="AE65" s="528"/>
      <c r="AF65" s="528"/>
      <c r="AG65" s="528"/>
      <c r="AH65" s="528"/>
    </row>
    <row r="66" spans="1:34" ht="14.25" outlineLevel="1" x14ac:dyDescent="0.2">
      <c r="A66" s="527" t="s">
        <v>79</v>
      </c>
      <c r="B66" s="528">
        <f>'Datu ievade'!B202</f>
        <v>1.5</v>
      </c>
      <c r="C66" s="528">
        <f>'Datu ievade'!C202</f>
        <v>1.5</v>
      </c>
      <c r="D66" s="528"/>
      <c r="E66" s="528"/>
      <c r="F66" s="528"/>
      <c r="G66" s="528"/>
      <c r="H66" s="528"/>
      <c r="I66" s="528"/>
      <c r="J66" s="528"/>
      <c r="K66" s="528"/>
      <c r="L66" s="528"/>
      <c r="M66" s="528"/>
      <c r="N66" s="528"/>
      <c r="O66" s="528"/>
      <c r="P66" s="528"/>
      <c r="Q66" s="528"/>
      <c r="R66" s="528"/>
      <c r="S66" s="528"/>
      <c r="T66" s="528"/>
      <c r="U66" s="528"/>
      <c r="V66" s="528"/>
      <c r="W66" s="528"/>
      <c r="X66" s="528"/>
      <c r="Y66" s="528"/>
      <c r="Z66" s="528"/>
      <c r="AA66" s="528"/>
      <c r="AB66" s="528"/>
      <c r="AC66" s="528"/>
      <c r="AD66" s="528"/>
      <c r="AE66" s="528"/>
      <c r="AF66" s="528"/>
      <c r="AG66" s="528"/>
      <c r="AH66" s="528"/>
    </row>
    <row r="67" spans="1:34" ht="14.25" outlineLevel="1" x14ac:dyDescent="0.2">
      <c r="A67" s="531" t="s">
        <v>77</v>
      </c>
      <c r="B67" s="532">
        <f>(B65*B57+B66*B58+B66*B59)/B60</f>
        <v>1.5</v>
      </c>
      <c r="C67" s="532">
        <f>(C65*C57+C66*C58+C66*C59)/C60</f>
        <v>1.4999999999999998</v>
      </c>
      <c r="D67" s="528">
        <f>ROUND((1+$B$49)*((SUM(D15:D19,D28:D30)+D56)/D60),3)</f>
        <v>1.7430000000000001</v>
      </c>
      <c r="E67" s="528">
        <f>ROUND((1+$B$49)*((SUM(E15:E19,E28:E30)+E56)/E60),3)</f>
        <v>1.7509999999999999</v>
      </c>
      <c r="F67" s="528">
        <f>ROUND((1+$B$49)*((SUM(F15:F19,F28:F30)+F56)/F60),3)</f>
        <v>1.7470000000000001</v>
      </c>
      <c r="G67" s="528">
        <f>ROUND((1+$B$49)*((SUM(G15:G19,G28:G30)+G56)/G60),3)</f>
        <v>1.7430000000000001</v>
      </c>
      <c r="H67" s="528">
        <f>ROUND((1+$B$49)*((SUM(H15:H19,H28:H30)+H56)/H60),3)</f>
        <v>1.742</v>
      </c>
      <c r="I67" s="528">
        <f t="shared" ref="I67:N67" si="28">ROUND((1+$B$49)*((SUM(I15:I19,I28:I30)+I56)/I60),3)</f>
        <v>1.764</v>
      </c>
      <c r="J67" s="528">
        <f t="shared" si="28"/>
        <v>1.7849999999999999</v>
      </c>
      <c r="K67" s="528">
        <f t="shared" si="28"/>
        <v>1.806</v>
      </c>
      <c r="L67" s="528">
        <f t="shared" si="28"/>
        <v>1.8280000000000001</v>
      </c>
      <c r="M67" s="528">
        <f t="shared" si="28"/>
        <v>1.849</v>
      </c>
      <c r="N67" s="528">
        <f t="shared" si="28"/>
        <v>1.8680000000000001</v>
      </c>
      <c r="O67" s="528">
        <f t="shared" ref="O67:X67" si="29">ROUND((1+$B$49)*((SUM(O15:O19,O28:O30)+O56)/O60),3)</f>
        <v>1.865</v>
      </c>
      <c r="P67" s="528">
        <f t="shared" si="29"/>
        <v>1.897</v>
      </c>
      <c r="Q67" s="528">
        <f t="shared" si="29"/>
        <v>1.929</v>
      </c>
      <c r="R67" s="528">
        <f t="shared" si="29"/>
        <v>1.929</v>
      </c>
      <c r="S67" s="528">
        <f t="shared" si="29"/>
        <v>1.91</v>
      </c>
      <c r="T67" s="528">
        <f t="shared" si="29"/>
        <v>1.9470000000000001</v>
      </c>
      <c r="U67" s="528">
        <f t="shared" si="29"/>
        <v>1.984</v>
      </c>
      <c r="V67" s="528">
        <f t="shared" si="29"/>
        <v>2.0659999999999998</v>
      </c>
      <c r="W67" s="528">
        <f t="shared" si="29"/>
        <v>2.1040000000000001</v>
      </c>
      <c r="X67" s="528">
        <f t="shared" si="29"/>
        <v>2.141</v>
      </c>
      <c r="Y67" s="528">
        <f t="shared" ref="Y67:AH67" si="30">ROUND((1+$B$49)*((SUM(Y15:Y19,Y28:Y30)+Y56)/Y60),3)</f>
        <v>2.1789999999999998</v>
      </c>
      <c r="Z67" s="528">
        <f t="shared" si="30"/>
        <v>2.2170000000000001</v>
      </c>
      <c r="AA67" s="528">
        <f t="shared" si="30"/>
        <v>2.254</v>
      </c>
      <c r="AB67" s="528">
        <f t="shared" si="30"/>
        <v>2.2919999999999998</v>
      </c>
      <c r="AC67" s="528">
        <f t="shared" si="30"/>
        <v>2.33</v>
      </c>
      <c r="AD67" s="528">
        <f t="shared" si="30"/>
        <v>2.367</v>
      </c>
      <c r="AE67" s="528">
        <f t="shared" si="30"/>
        <v>2.4049999999999998</v>
      </c>
      <c r="AF67" s="528">
        <f t="shared" si="30"/>
        <v>2.4550000000000001</v>
      </c>
      <c r="AG67" s="528">
        <f t="shared" si="30"/>
        <v>2.5049999999999999</v>
      </c>
      <c r="AH67" s="528">
        <f t="shared" si="30"/>
        <v>2.5550000000000002</v>
      </c>
    </row>
    <row r="68" spans="1:34" x14ac:dyDescent="0.2">
      <c r="A68" s="307"/>
      <c r="B68" s="290"/>
      <c r="C68" s="290"/>
      <c r="D68" s="290"/>
      <c r="E68" s="419"/>
      <c r="F68" s="419"/>
      <c r="G68" s="419"/>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row>
    <row r="69" spans="1:34" ht="15" x14ac:dyDescent="0.2">
      <c r="A69" s="428" t="s">
        <v>80</v>
      </c>
      <c r="B69" s="277"/>
      <c r="C69" s="277"/>
      <c r="D69" s="277"/>
      <c r="E69" s="277"/>
      <c r="F69" s="277"/>
      <c r="G69" s="277"/>
      <c r="H69" s="277"/>
      <c r="I69" s="277"/>
      <c r="J69" s="277"/>
      <c r="K69" s="277"/>
      <c r="L69" s="277"/>
      <c r="M69" s="277"/>
      <c r="N69" s="277"/>
      <c r="O69" s="277"/>
      <c r="P69" s="277"/>
      <c r="Q69" s="277"/>
      <c r="R69" s="277"/>
      <c r="S69" s="277"/>
      <c r="T69" s="277"/>
      <c r="U69" s="277"/>
      <c r="V69" s="277"/>
      <c r="W69" s="277"/>
      <c r="X69" s="277"/>
      <c r="Y69" s="277"/>
      <c r="Z69" s="277"/>
      <c r="AA69" s="277"/>
      <c r="AB69" s="277"/>
      <c r="AC69" s="277"/>
      <c r="AD69" s="277"/>
      <c r="AE69" s="277"/>
      <c r="AF69" s="277"/>
      <c r="AG69" s="277"/>
      <c r="AH69" s="277"/>
    </row>
    <row r="70" spans="1:34" x14ac:dyDescent="0.2">
      <c r="A70" s="30"/>
      <c r="B70" s="526">
        <f t="shared" ref="B70:AH70" si="31">B6</f>
        <v>2017</v>
      </c>
      <c r="C70" s="526">
        <f t="shared" si="31"/>
        <v>2018</v>
      </c>
      <c r="D70" s="526">
        <f t="shared" si="31"/>
        <v>2019</v>
      </c>
      <c r="E70" s="526">
        <f t="shared" si="31"/>
        <v>2020</v>
      </c>
      <c r="F70" s="526">
        <f t="shared" si="31"/>
        <v>2021</v>
      </c>
      <c r="G70" s="526">
        <f t="shared" si="31"/>
        <v>2022</v>
      </c>
      <c r="H70" s="526">
        <f t="shared" si="31"/>
        <v>2023</v>
      </c>
      <c r="I70" s="526">
        <f t="shared" si="31"/>
        <v>2024</v>
      </c>
      <c r="J70" s="526">
        <f t="shared" si="31"/>
        <v>2025</v>
      </c>
      <c r="K70" s="526">
        <f t="shared" si="31"/>
        <v>2026</v>
      </c>
      <c r="L70" s="526">
        <f t="shared" si="31"/>
        <v>2027</v>
      </c>
      <c r="M70" s="526">
        <f t="shared" si="31"/>
        <v>2028</v>
      </c>
      <c r="N70" s="526">
        <f t="shared" si="31"/>
        <v>2029</v>
      </c>
      <c r="O70" s="526">
        <f t="shared" si="31"/>
        <v>2030</v>
      </c>
      <c r="P70" s="526">
        <f t="shared" si="31"/>
        <v>2031</v>
      </c>
      <c r="Q70" s="526">
        <f t="shared" si="31"/>
        <v>2032</v>
      </c>
      <c r="R70" s="526">
        <f t="shared" si="31"/>
        <v>2033</v>
      </c>
      <c r="S70" s="526">
        <f t="shared" si="31"/>
        <v>2034</v>
      </c>
      <c r="T70" s="526">
        <f t="shared" si="31"/>
        <v>2035</v>
      </c>
      <c r="U70" s="526">
        <f t="shared" si="31"/>
        <v>2036</v>
      </c>
      <c r="V70" s="526">
        <f t="shared" si="31"/>
        <v>2037</v>
      </c>
      <c r="W70" s="526">
        <f t="shared" si="31"/>
        <v>2038</v>
      </c>
      <c r="X70" s="526">
        <f t="shared" si="31"/>
        <v>2039</v>
      </c>
      <c r="Y70" s="526">
        <f t="shared" si="31"/>
        <v>2040</v>
      </c>
      <c r="Z70" s="526">
        <f t="shared" si="31"/>
        <v>2041</v>
      </c>
      <c r="AA70" s="526">
        <f t="shared" si="31"/>
        <v>2042</v>
      </c>
      <c r="AB70" s="526">
        <f t="shared" si="31"/>
        <v>2043</v>
      </c>
      <c r="AC70" s="526">
        <f t="shared" si="31"/>
        <v>2044</v>
      </c>
      <c r="AD70" s="526">
        <f t="shared" si="31"/>
        <v>2045</v>
      </c>
      <c r="AE70" s="526">
        <f t="shared" si="31"/>
        <v>2046</v>
      </c>
      <c r="AF70" s="526">
        <f t="shared" si="31"/>
        <v>2047</v>
      </c>
      <c r="AG70" s="526">
        <f t="shared" si="31"/>
        <v>2048</v>
      </c>
      <c r="AH70" s="526">
        <f t="shared" si="31"/>
        <v>2049</v>
      </c>
    </row>
    <row r="71" spans="1:34" x14ac:dyDescent="0.2">
      <c r="A71" s="621" t="s">
        <v>285</v>
      </c>
      <c r="B71" s="622"/>
      <c r="C71" s="622"/>
      <c r="D71" s="622"/>
      <c r="E71" s="622"/>
      <c r="F71" s="622"/>
      <c r="G71" s="622"/>
      <c r="H71" s="622"/>
      <c r="I71" s="622"/>
      <c r="J71" s="622"/>
      <c r="K71" s="622"/>
      <c r="L71" s="622"/>
      <c r="M71" s="622"/>
      <c r="N71" s="622"/>
      <c r="O71" s="622"/>
      <c r="P71" s="622"/>
      <c r="Q71" s="622"/>
      <c r="R71" s="622"/>
      <c r="S71" s="622"/>
      <c r="T71" s="622"/>
      <c r="U71" s="622"/>
      <c r="V71" s="622"/>
      <c r="W71" s="622"/>
      <c r="X71" s="622"/>
      <c r="Y71" s="622"/>
      <c r="Z71" s="622"/>
      <c r="AA71" s="622"/>
      <c r="AB71" s="622"/>
      <c r="AC71" s="622"/>
      <c r="AD71" s="622"/>
      <c r="AE71" s="622"/>
      <c r="AF71" s="622"/>
      <c r="AG71" s="622"/>
      <c r="AH71" s="622"/>
    </row>
    <row r="72" spans="1:34" x14ac:dyDescent="0.2">
      <c r="A72" s="621" t="s">
        <v>299</v>
      </c>
      <c r="B72" s="622"/>
      <c r="C72" s="622"/>
      <c r="D72" s="622"/>
      <c r="E72" s="622"/>
      <c r="F72" s="622"/>
      <c r="G72" s="622"/>
      <c r="H72" s="622"/>
      <c r="I72" s="622"/>
      <c r="J72" s="622"/>
      <c r="K72" s="622"/>
      <c r="L72" s="622"/>
      <c r="M72" s="622"/>
      <c r="N72" s="622"/>
      <c r="O72" s="622"/>
      <c r="P72" s="622"/>
      <c r="Q72" s="622"/>
      <c r="R72" s="622"/>
      <c r="S72" s="622"/>
      <c r="T72" s="622"/>
      <c r="U72" s="622"/>
      <c r="V72" s="622"/>
      <c r="W72" s="622"/>
      <c r="X72" s="622"/>
      <c r="Y72" s="622"/>
      <c r="Z72" s="622"/>
      <c r="AA72" s="622"/>
      <c r="AB72" s="622"/>
      <c r="AC72" s="622"/>
      <c r="AD72" s="622"/>
      <c r="AE72" s="622"/>
      <c r="AF72" s="622"/>
      <c r="AG72" s="622"/>
      <c r="AH72" s="622"/>
    </row>
    <row r="73" spans="1:34" x14ac:dyDescent="0.2">
      <c r="A73" s="30" t="s">
        <v>591</v>
      </c>
      <c r="B73" s="524">
        <f>'Datu ievade'!B127</f>
        <v>29155</v>
      </c>
      <c r="C73" s="524">
        <f>'Datu ievade'!B175*'Kopējie pieņēmumi'!C10</f>
        <v>22544.484463095167</v>
      </c>
      <c r="D73" s="524">
        <f>'Datu ievade'!C175*'Kopējie pieņēmumi'!D10</f>
        <v>23246.864657654209</v>
      </c>
      <c r="E73" s="524">
        <f>'Datu ievade'!D175*'Kopējie pieņēmumi'!E10</f>
        <v>23778.606833087808</v>
      </c>
      <c r="F73" s="524">
        <f>'Datu ievade'!E175*'Kopējie pieņēmumi'!F10</f>
        <v>24283.330931551714</v>
      </c>
      <c r="G73" s="524">
        <f>'Datu ievade'!F175*'Kopējie pieņēmumi'!G10</f>
        <v>24790.39610374219</v>
      </c>
      <c r="H73" s="524">
        <f>'Datu ievade'!G175*'Kopējie pieņēmumi'!H10</f>
        <v>25233.08174845187</v>
      </c>
      <c r="I73" s="524">
        <f>'Datu ievade'!H175*'Kopējie pieņēmumi'!I10</f>
        <v>25675.76739316155</v>
      </c>
      <c r="J73" s="524">
        <f>'Datu ievade'!I175*'Kopējie pieņēmumi'!J10</f>
        <v>26118.453037871233</v>
      </c>
      <c r="K73" s="524">
        <f>'Datu ievade'!J175*'Kopējie pieņēmumi'!K10</f>
        <v>26561.138682580917</v>
      </c>
      <c r="L73" s="524">
        <f>'Datu ievade'!K175*'Kopējie pieņēmumi'!L10</f>
        <v>27003.824327290597</v>
      </c>
      <c r="M73" s="524">
        <f>'Datu ievade'!L175*'Kopējie pieņēmumi'!M10</f>
        <v>27446.50997200028</v>
      </c>
      <c r="N73" s="524">
        <f>'Datu ievade'!M175*'Kopējie pieņēmumi'!N10</f>
        <v>27889.195616709963</v>
      </c>
      <c r="O73" s="524">
        <f>'Datu ievade'!N175*'Kopējie pieņēmumi'!O10</f>
        <v>28553.224083774487</v>
      </c>
      <c r="P73" s="524">
        <f>'Datu ievade'!O175*'Kopējie pieņēmumi'!P10</f>
        <v>29217.25255083901</v>
      </c>
      <c r="Q73" s="524">
        <f>'Datu ievade'!P175*'Kopējie pieņēmumi'!Q10</f>
        <v>29881.281017903533</v>
      </c>
      <c r="R73" s="524">
        <f>'Datu ievade'!Q175*'Kopējie pieņēmumi'!R10</f>
        <v>30545.309484968053</v>
      </c>
      <c r="S73" s="524">
        <f>'Datu ievade'!R175*'Kopējie pieņēmumi'!S10</f>
        <v>31209.337952032576</v>
      </c>
      <c r="T73" s="524">
        <f>'Datu ievade'!S175*'Kopējie pieņēmumi'!T10</f>
        <v>31873.366419097099</v>
      </c>
      <c r="U73" s="524">
        <f>'Datu ievade'!T175*'Kopējie pieņēmumi'!U10</f>
        <v>32537.394886161623</v>
      </c>
      <c r="V73" s="524">
        <f>'Datu ievade'!U175*'Kopējie pieņēmumi'!V10</f>
        <v>33201.423353226142</v>
      </c>
      <c r="W73" s="524">
        <f>'Datu ievade'!V175*'Kopējie pieņēmumi'!W10</f>
        <v>33865.451820290669</v>
      </c>
      <c r="X73" s="524">
        <f>'Datu ievade'!W175*'Kopējie pieņēmumi'!X10</f>
        <v>34529.480287355196</v>
      </c>
      <c r="Y73" s="524">
        <f>'Datu ievade'!X175*'Kopējie pieņēmumi'!Y10</f>
        <v>35193.508754419716</v>
      </c>
      <c r="Z73" s="524">
        <f>'Datu ievade'!Y175*'Kopējie pieņēmumi'!Z10</f>
        <v>35857.537221484243</v>
      </c>
      <c r="AA73" s="524">
        <f>'Datu ievade'!Z175*'Kopējie pieņēmumi'!AA10</f>
        <v>36521.565688548755</v>
      </c>
      <c r="AB73" s="524">
        <f>'Datu ievade'!AA175*'Kopējie pieņēmumi'!AB10</f>
        <v>37185.594155613282</v>
      </c>
      <c r="AC73" s="524">
        <f>'Datu ievade'!AB175*'Kopējie pieņēmumi'!AC10</f>
        <v>37849.622622677809</v>
      </c>
      <c r="AD73" s="524">
        <f>'Datu ievade'!AC175*'Kopējie pieņēmumi'!AD10</f>
        <v>38513.651089742329</v>
      </c>
      <c r="AE73" s="524">
        <f>'Datu ievade'!AD175*'Kopējie pieņēmumi'!AE10</f>
        <v>39177.679556806856</v>
      </c>
      <c r="AF73" s="524">
        <f>'Datu ievade'!AE175*'Kopējie pieņēmumi'!AF10</f>
        <v>40063.050846226215</v>
      </c>
      <c r="AG73" s="524">
        <f>'Datu ievade'!AF175*'Kopējie pieņēmumi'!AG10</f>
        <v>40948.422135645582</v>
      </c>
      <c r="AH73" s="524">
        <f>'Datu ievade'!AG175*'Kopējie pieņēmumi'!AH10</f>
        <v>41833.793425064941</v>
      </c>
    </row>
    <row r="74" spans="1:34" x14ac:dyDescent="0.2">
      <c r="A74" s="30" t="s">
        <v>592</v>
      </c>
      <c r="B74" s="524">
        <f>'Datu ievade'!B128</f>
        <v>18226</v>
      </c>
      <c r="C74" s="524">
        <f>'Datu ievade'!B176*'Kopējie pieņēmumi'!C10</f>
        <v>18791.32333273298</v>
      </c>
      <c r="D74" s="524">
        <f>'Datu ievade'!C176*'Kopējie pieņēmumi'!D10</f>
        <v>19376.772663369607</v>
      </c>
      <c r="E74" s="524">
        <f>'Datu ievade'!D176*'Kopējie pieņēmumi'!E10</f>
        <v>19819.991454403866</v>
      </c>
      <c r="F74" s="524">
        <f>'Datu ievade'!E176*'Kopējie pieņēmumi'!F10</f>
        <v>20240.690084420588</v>
      </c>
      <c r="G74" s="524">
        <f>'Datu ievade'!F176*'Kopējie pieņēmumi'!G10</f>
        <v>20663.340050845723</v>
      </c>
      <c r="H74" s="524">
        <f>'Datu ievade'!G176*'Kopējie pieņēmumi'!H10</f>
        <v>21032.328266039392</v>
      </c>
      <c r="I74" s="524">
        <f>'Datu ievade'!H176*'Kopējie pieņēmumi'!I10</f>
        <v>21401.316481233069</v>
      </c>
      <c r="J74" s="524">
        <f>'Datu ievade'!I176*'Kopējie pieņēmumi'!J10</f>
        <v>21770.304696426741</v>
      </c>
      <c r="K74" s="524">
        <f>'Datu ievade'!J176*'Kopējie pieņēmumi'!K10</f>
        <v>22139.292911620414</v>
      </c>
      <c r="L74" s="524">
        <f>'Datu ievade'!K176*'Kopējie pieņēmumi'!L10</f>
        <v>22508.28112681409</v>
      </c>
      <c r="M74" s="524">
        <f>'Datu ievade'!L176*'Kopējie pieņēmumi'!M10</f>
        <v>22877.269342007763</v>
      </c>
      <c r="N74" s="524">
        <f>'Datu ievade'!M176*'Kopējie pieņēmumi'!N10</f>
        <v>23246.257557201436</v>
      </c>
      <c r="O74" s="524">
        <f>'Datu ievade'!N176*'Kopējie pieņēmumi'!O10</f>
        <v>23799.739879991947</v>
      </c>
      <c r="P74" s="524">
        <f>'Datu ievade'!O176*'Kopējie pieņēmumi'!P10</f>
        <v>24353.222202782457</v>
      </c>
      <c r="Q74" s="524">
        <f>'Datu ievade'!P176*'Kopējie pieņēmumi'!Q10</f>
        <v>24906.704525572972</v>
      </c>
      <c r="R74" s="524">
        <f>'Datu ievade'!Q176*'Kopējie pieņēmumi'!R10</f>
        <v>25460.186848363475</v>
      </c>
      <c r="S74" s="524">
        <f>'Datu ievade'!R176*'Kopējie pieņēmumi'!S10</f>
        <v>26013.669171153986</v>
      </c>
      <c r="T74" s="524">
        <f>'Datu ievade'!S176*'Kopējie pieņēmumi'!T10</f>
        <v>26567.151493944497</v>
      </c>
      <c r="U74" s="524">
        <f>'Datu ievade'!T176*'Kopējie pieņēmumi'!U10</f>
        <v>27120.633816735008</v>
      </c>
      <c r="V74" s="524">
        <f>'Datu ievade'!U176*'Kopējie pieņēmumi'!V10</f>
        <v>27674.116139525519</v>
      </c>
      <c r="W74" s="524">
        <f>'Datu ievade'!V176*'Kopējie pieņēmumi'!W10</f>
        <v>28227.598462316033</v>
      </c>
      <c r="X74" s="524">
        <f>'Datu ievade'!W176*'Kopējie pieņēmumi'!X10</f>
        <v>28781.080785106544</v>
      </c>
      <c r="Y74" s="524">
        <f>'Datu ievade'!X176*'Kopējie pieņēmumi'!Y10</f>
        <v>29334.563107897055</v>
      </c>
      <c r="Z74" s="524">
        <f>'Datu ievade'!Y176*'Kopējie pieņēmumi'!Z10</f>
        <v>29888.045430687565</v>
      </c>
      <c r="AA74" s="524">
        <f>'Datu ievade'!Z176*'Kopējie pieņēmumi'!AA10</f>
        <v>30441.527753478069</v>
      </c>
      <c r="AB74" s="524">
        <f>'Datu ievade'!AA176*'Kopējie pieņēmumi'!AB10</f>
        <v>30995.010076268583</v>
      </c>
      <c r="AC74" s="524">
        <f>'Datu ievade'!AB176*'Kopējie pieņēmumi'!AC10</f>
        <v>31548.492399059094</v>
      </c>
      <c r="AD74" s="524">
        <f>'Datu ievade'!AC176*'Kopējie pieņēmumi'!AD10</f>
        <v>32101.974721849605</v>
      </c>
      <c r="AE74" s="524">
        <f>'Datu ievade'!AD176*'Kopējie pieņēmumi'!AE10</f>
        <v>32655.457044640116</v>
      </c>
      <c r="AF74" s="524">
        <f>'Datu ievade'!AE176*'Kopējie pieņēmumi'!AF10</f>
        <v>33393.433475027465</v>
      </c>
      <c r="AG74" s="524">
        <f>'Datu ievade'!AF176*'Kopējie pieņēmumi'!AG10</f>
        <v>34131.40990541481</v>
      </c>
      <c r="AH74" s="524">
        <f>'Datu ievade'!AG176*'Kopējie pieņēmumi'!AH10</f>
        <v>34869.386335802155</v>
      </c>
    </row>
    <row r="75" spans="1:34" x14ac:dyDescent="0.2">
      <c r="A75" s="30" t="s">
        <v>593</v>
      </c>
      <c r="B75" s="524">
        <f>'Datu ievade'!B129</f>
        <v>17882</v>
      </c>
      <c r="C75" s="524">
        <f>'Datu ievade'!B177*'Kopējie pieņēmumi'!C10</f>
        <v>18436.653343351867</v>
      </c>
      <c r="D75" s="524">
        <f>'Datu ievade'!C177*'Kopējie pieņēmumi'!D10</f>
        <v>19011.052823788832</v>
      </c>
      <c r="E75" s="524">
        <f>'Datu ievade'!D177*'Kopējie pieņēmumi'!E10</f>
        <v>19445.906243149886</v>
      </c>
      <c r="F75" s="524">
        <f>'Datu ievade'!E177*'Kopējie pieņēmumi'!F10</f>
        <v>19858.664550071808</v>
      </c>
      <c r="G75" s="524">
        <f>'Datu ievade'!F177*'Kopējie pieņēmumi'!G10</f>
        <v>20273.337363613686</v>
      </c>
      <c r="H75" s="524">
        <f>'Datu ievade'!G177*'Kopējie pieņēmumi'!H10</f>
        <v>20635.361245106786</v>
      </c>
      <c r="I75" s="524">
        <f>'Datu ievade'!H177*'Kopējie pieņēmumi'!I10</f>
        <v>20997.385126599886</v>
      </c>
      <c r="J75" s="524">
        <f>'Datu ievade'!I177*'Kopējie pieņēmumi'!J10</f>
        <v>21359.409008092989</v>
      </c>
      <c r="K75" s="524">
        <f>'Datu ievade'!J177*'Kopējie pieņēmumi'!K10</f>
        <v>21721.432889586089</v>
      </c>
      <c r="L75" s="524">
        <f>'Datu ievade'!K177*'Kopējie pieņēmumi'!L10</f>
        <v>22083.456771079193</v>
      </c>
      <c r="M75" s="524">
        <f>'Datu ievade'!L177*'Kopējie pieņēmumi'!M10</f>
        <v>22445.480652572292</v>
      </c>
      <c r="N75" s="524">
        <f>'Datu ievade'!M177*'Kopējie pieņēmumi'!N10</f>
        <v>22807.504534065396</v>
      </c>
      <c r="O75" s="524">
        <f>'Datu ievade'!N177*'Kopējie pieņēmumi'!O10</f>
        <v>23350.540356305049</v>
      </c>
      <c r="P75" s="524">
        <f>'Datu ievade'!O177*'Kopējie pieņēmumi'!P10</f>
        <v>23893.576178544699</v>
      </c>
      <c r="Q75" s="524">
        <f>'Datu ievade'!P177*'Kopējie pieņēmumi'!Q10</f>
        <v>24436.612000784353</v>
      </c>
      <c r="R75" s="524">
        <f>'Datu ievade'!Q177*'Kopējie pieņēmumi'!R10</f>
        <v>24979.647823024003</v>
      </c>
      <c r="S75" s="524">
        <f>'Datu ievade'!R177*'Kopējie pieņēmumi'!S10</f>
        <v>25522.683645263656</v>
      </c>
      <c r="T75" s="524">
        <f>'Datu ievade'!S177*'Kopējie pieņēmumi'!T10</f>
        <v>26065.719467503306</v>
      </c>
      <c r="U75" s="524">
        <f>'Datu ievade'!T177*'Kopējie pieņēmumi'!U10</f>
        <v>26608.75528974296</v>
      </c>
      <c r="V75" s="524">
        <f>'Datu ievade'!U177*'Kopējie pieņēmumi'!V10</f>
        <v>27151.791111982613</v>
      </c>
      <c r="W75" s="524">
        <f>'Datu ievade'!V177*'Kopējie pieņēmumi'!W10</f>
        <v>27694.826934222267</v>
      </c>
      <c r="X75" s="524">
        <f>'Datu ievade'!W177*'Kopējie pieņēmumi'!X10</f>
        <v>28237.86275646192</v>
      </c>
      <c r="Y75" s="524">
        <f>'Datu ievade'!X177*'Kopējie pieņēmumi'!Y10</f>
        <v>28780.89857870157</v>
      </c>
      <c r="Z75" s="524">
        <f>'Datu ievade'!Y177*'Kopējie pieņēmumi'!Z10</f>
        <v>29323.934400941223</v>
      </c>
      <c r="AA75" s="524">
        <f>'Datu ievade'!Z177*'Kopējie pieņēmumi'!AA10</f>
        <v>29866.970223180873</v>
      </c>
      <c r="AB75" s="524">
        <f>'Datu ievade'!AA177*'Kopējie pieņēmumi'!AB10</f>
        <v>30410.006045420527</v>
      </c>
      <c r="AC75" s="524">
        <f>'Datu ievade'!AB177*'Kopējie pieņēmumi'!AC10</f>
        <v>30953.041867660177</v>
      </c>
      <c r="AD75" s="524">
        <f>'Datu ievade'!AC177*'Kopējie pieņēmumi'!AD10</f>
        <v>31496.07768989983</v>
      </c>
      <c r="AE75" s="524">
        <f>'Datu ievade'!AD177*'Kopējie pieņēmumi'!AE10</f>
        <v>32039.113512139484</v>
      </c>
      <c r="AF75" s="524">
        <f>'Datu ievade'!AE177*'Kopējie pieņēmumi'!AF10</f>
        <v>32763.161275125687</v>
      </c>
      <c r="AG75" s="524">
        <f>'Datu ievade'!AF177*'Kopējie pieņēmumi'!AG10</f>
        <v>33487.209038111891</v>
      </c>
      <c r="AH75" s="524">
        <f>'Datu ievade'!AG177*'Kopējie pieņēmumi'!AH10</f>
        <v>34211.25680109809</v>
      </c>
    </row>
    <row r="76" spans="1:34" x14ac:dyDescent="0.2">
      <c r="A76" s="30" t="s">
        <v>594</v>
      </c>
      <c r="B76" s="524">
        <f>'Datu ievade'!B130</f>
        <v>21284</v>
      </c>
      <c r="C76" s="524">
        <f>'Datu ievade'!B178*'Kopējie pieņēmumi'!C10</f>
        <v>21944.174575545305</v>
      </c>
      <c r="D76" s="524">
        <f>'Datu ievade'!C178*'Kopējie pieņēmumi'!D10</f>
        <v>22627.851934991697</v>
      </c>
      <c r="E76" s="524">
        <f>'Datu ievade'!D178*'Kopējie pieņēmumi'!E10</f>
        <v>23145.434989330177</v>
      </c>
      <c r="F76" s="524">
        <f>'Datu ievade'!E178*'Kopējie pieņēmumi'!F10</f>
        <v>23636.719398486101</v>
      </c>
      <c r="G76" s="524">
        <f>'Datu ievade'!F178*'Kopējie pieņēmumi'!G10</f>
        <v>24130.28254373973</v>
      </c>
      <c r="H76" s="524">
        <f>'Datu ievade'!G178*'Kopējie pieņēmumi'!H10</f>
        <v>24561.180446306505</v>
      </c>
      <c r="I76" s="524">
        <f>'Datu ievade'!H178*'Kopējie pieņēmumi'!I10</f>
        <v>24992.078348873285</v>
      </c>
      <c r="J76" s="524">
        <f>'Datu ievade'!I178*'Kopējie pieņēmumi'!J10</f>
        <v>25422.976251440068</v>
      </c>
      <c r="K76" s="524">
        <f>'Datu ievade'!J178*'Kopējie pieņēmumi'!K10</f>
        <v>25853.874154006848</v>
      </c>
      <c r="L76" s="524">
        <f>'Datu ievade'!K178*'Kopējie pieņēmumi'!L10</f>
        <v>26284.772056573631</v>
      </c>
      <c r="M76" s="524">
        <f>'Datu ievade'!L178*'Kopējie pieņēmumi'!M10</f>
        <v>26715.66995914041</v>
      </c>
      <c r="N76" s="524">
        <f>'Datu ievade'!M178*'Kopējie pieņēmumi'!N10</f>
        <v>27146.567861707194</v>
      </c>
      <c r="O76" s="524">
        <f>'Datu ievade'!N178*'Kopējie pieņēmumi'!O10</f>
        <v>27792.914715557363</v>
      </c>
      <c r="P76" s="524">
        <f>'Datu ievade'!O178*'Kopējie pieņēmumi'!P10</f>
        <v>28439.261569407536</v>
      </c>
      <c r="Q76" s="524">
        <f>'Datu ievade'!P178*'Kopējie pieņēmumi'!Q10</f>
        <v>29085.608423257709</v>
      </c>
      <c r="R76" s="524">
        <f>'Datu ievade'!Q178*'Kopējie pieņēmumi'!R10</f>
        <v>29731.955277107874</v>
      </c>
      <c r="S76" s="524">
        <f>'Datu ievade'!R178*'Kopējie pieņēmumi'!S10</f>
        <v>30378.302130958047</v>
      </c>
      <c r="T76" s="524">
        <f>'Datu ievade'!S178*'Kopējie pieņēmumi'!T10</f>
        <v>31024.64898480822</v>
      </c>
      <c r="U76" s="524">
        <f>'Datu ievade'!T178*'Kopējie pieņēmumi'!U10</f>
        <v>31670.995838658389</v>
      </c>
      <c r="V76" s="524">
        <f>'Datu ievade'!U178*'Kopējie pieņēmumi'!V10</f>
        <v>32317.342692508562</v>
      </c>
      <c r="W76" s="524">
        <f>'Datu ievade'!V178*'Kopējie pieņēmumi'!W10</f>
        <v>32963.689546358735</v>
      </c>
      <c r="X76" s="524">
        <f>'Datu ievade'!W178*'Kopējie pieņēmumi'!X10</f>
        <v>33610.036400208905</v>
      </c>
      <c r="Y76" s="524">
        <f>'Datu ievade'!X178*'Kopējie pieņēmumi'!Y10</f>
        <v>34256.383254059081</v>
      </c>
      <c r="Z76" s="524">
        <f>'Datu ievade'!Y178*'Kopējie pieņēmumi'!Z10</f>
        <v>34902.73010790925</v>
      </c>
      <c r="AA76" s="524">
        <f>'Datu ievade'!Z178*'Kopējie pieņēmumi'!AA10</f>
        <v>35549.07696175942</v>
      </c>
      <c r="AB76" s="524">
        <f>'Datu ievade'!AA178*'Kopējie pieņēmumi'!AB10</f>
        <v>36195.423815609589</v>
      </c>
      <c r="AC76" s="524">
        <f>'Datu ievade'!AB178*'Kopējie pieņēmumi'!AC10</f>
        <v>36841.770669459758</v>
      </c>
      <c r="AD76" s="524">
        <f>'Datu ievade'!AC178*'Kopējie pieņēmumi'!AD10</f>
        <v>37488.117523309935</v>
      </c>
      <c r="AE76" s="524">
        <f>'Datu ievade'!AD178*'Kopējie pieņēmumi'!AE10</f>
        <v>38134.464377160104</v>
      </c>
      <c r="AF76" s="524">
        <f>'Datu ievade'!AE178*'Kopējie pieņēmumi'!AF10</f>
        <v>38996.260182293663</v>
      </c>
      <c r="AG76" s="524">
        <f>'Datu ievade'!AF178*'Kopējie pieņēmumi'!AG10</f>
        <v>39858.055987427229</v>
      </c>
      <c r="AH76" s="524">
        <f>'Datu ievade'!AG178*'Kopējie pieņēmumi'!AH10</f>
        <v>40719.851792560788</v>
      </c>
    </row>
    <row r="77" spans="1:34" ht="25.5" x14ac:dyDescent="0.2">
      <c r="A77" s="30" t="s">
        <v>595</v>
      </c>
      <c r="B77" s="524">
        <f>'Datu ievade'!B131</f>
        <v>10502</v>
      </c>
      <c r="C77" s="524">
        <f>'Datu ievade'!B179*'Kopējie pieņēmumi'!C10</f>
        <v>10827.744850233828</v>
      </c>
      <c r="D77" s="524">
        <f>'Datu ievade'!C179*'Kopējie pieņēmumi'!D10</f>
        <v>11165.086497899023</v>
      </c>
      <c r="E77" s="524">
        <f>'Datu ievade'!D179*'Kopējie pieņēmumi'!E10</f>
        <v>11420.473513340798</v>
      </c>
      <c r="F77" s="524">
        <f>'Datu ievade'!E179*'Kopējie pieņēmumi'!F10</f>
        <v>11662.884191077856</v>
      </c>
      <c r="G77" s="524">
        <f>'Datu ievade'!F179*'Kopējie pieņēmumi'!G10</f>
        <v>11906.419247996366</v>
      </c>
      <c r="H77" s="524">
        <f>'Datu ievade'!G179*'Kopējie pieņēmumi'!H10</f>
        <v>12119.03387742487</v>
      </c>
      <c r="I77" s="524">
        <f>'Datu ievade'!H179*'Kopējie pieņēmumi'!I10</f>
        <v>12331.648506853377</v>
      </c>
      <c r="J77" s="524">
        <f>'Datu ievade'!I179*'Kopējie pieņēmumi'!J10</f>
        <v>12544.263136281885</v>
      </c>
      <c r="K77" s="524">
        <f>'Datu ievade'!J179*'Kopējie pieņēmumi'!K10</f>
        <v>12756.877765710391</v>
      </c>
      <c r="L77" s="524">
        <f>'Datu ievade'!K179*'Kopējie pieņēmumi'!L10</f>
        <v>12969.492395138897</v>
      </c>
      <c r="M77" s="524">
        <f>'Datu ievade'!L179*'Kopējie pieņēmumi'!M10</f>
        <v>13182.107024567404</v>
      </c>
      <c r="N77" s="524">
        <f>'Datu ievade'!M179*'Kopējie pieņēmumi'!N10</f>
        <v>13394.721653995912</v>
      </c>
      <c r="O77" s="524">
        <f>'Datu ievade'!N179*'Kopējie pieņēmumi'!O10</f>
        <v>13713.643598138671</v>
      </c>
      <c r="P77" s="524">
        <f>'Datu ievade'!O179*'Kopējie pieņēmumi'!P10</f>
        <v>14032.565542281431</v>
      </c>
      <c r="Q77" s="524">
        <f>'Datu ievade'!P179*'Kopējie pieņēmumi'!Q10</f>
        <v>14351.487486424192</v>
      </c>
      <c r="R77" s="524">
        <f>'Datu ievade'!Q179*'Kopējie pieņēmumi'!R10</f>
        <v>14670.40943056695</v>
      </c>
      <c r="S77" s="524">
        <f>'Datu ievade'!R179*'Kopējie pieņēmumi'!S10</f>
        <v>14989.331374709709</v>
      </c>
      <c r="T77" s="524">
        <f>'Datu ievade'!S179*'Kopējie pieņēmumi'!T10</f>
        <v>15308.253318852469</v>
      </c>
      <c r="U77" s="524">
        <f>'Datu ievade'!T179*'Kopējie pieņēmumi'!U10</f>
        <v>15627.17526299523</v>
      </c>
      <c r="V77" s="524">
        <f>'Datu ievade'!U179*'Kopējie pieņēmumi'!V10</f>
        <v>15946.097207137989</v>
      </c>
      <c r="W77" s="524">
        <f>'Datu ievade'!V179*'Kopējie pieņēmumi'!W10</f>
        <v>16265.019151280749</v>
      </c>
      <c r="X77" s="524">
        <f>'Datu ievade'!W179*'Kopējie pieņēmumi'!X10</f>
        <v>16583.94109542351</v>
      </c>
      <c r="Y77" s="524">
        <f>'Datu ievade'!X179*'Kopējie pieņēmumi'!Y10</f>
        <v>16902.863039566269</v>
      </c>
      <c r="Z77" s="524">
        <f>'Datu ievade'!Y179*'Kopējie pieņēmumi'!Z10</f>
        <v>17221.784983709029</v>
      </c>
      <c r="AA77" s="524">
        <f>'Datu ievade'!Z179*'Kopējie pieņēmumi'!AA10</f>
        <v>17540.706927851788</v>
      </c>
      <c r="AB77" s="524">
        <f>'Datu ievade'!AA179*'Kopējie pieņēmumi'!AB10</f>
        <v>17859.628871994548</v>
      </c>
      <c r="AC77" s="524">
        <f>'Datu ievade'!AB179*'Kopējie pieņēmumi'!AC10</f>
        <v>18178.550816137307</v>
      </c>
      <c r="AD77" s="524">
        <f>'Datu ievade'!AC179*'Kopējie pieņēmumi'!AD10</f>
        <v>30677.472760280067</v>
      </c>
      <c r="AE77" s="524">
        <f>'Datu ievade'!AD179*'Kopējie pieņēmumi'!AE10</f>
        <v>31206.394704422826</v>
      </c>
      <c r="AF77" s="524">
        <f>'Datu ievade'!AE179*'Kopējie pieņēmumi'!AF10</f>
        <v>31911.623963279842</v>
      </c>
      <c r="AG77" s="524">
        <f>'Datu ievade'!AF179*'Kopējie pieņēmumi'!AG10</f>
        <v>32616.853222136855</v>
      </c>
      <c r="AH77" s="524">
        <f>'Datu ievade'!AG179*'Kopējie pieņēmumi'!AH10</f>
        <v>33322.082480993864</v>
      </c>
    </row>
    <row r="78" spans="1:34" x14ac:dyDescent="0.2">
      <c r="A78" s="621" t="s">
        <v>295</v>
      </c>
      <c r="B78" s="622"/>
      <c r="C78" s="622"/>
      <c r="D78" s="622"/>
      <c r="E78" s="622"/>
      <c r="F78" s="622"/>
      <c r="G78" s="622"/>
      <c r="H78" s="622"/>
      <c r="I78" s="622"/>
      <c r="J78" s="622"/>
      <c r="K78" s="622"/>
      <c r="L78" s="622"/>
      <c r="M78" s="622"/>
      <c r="N78" s="622"/>
      <c r="O78" s="622"/>
      <c r="P78" s="622"/>
      <c r="Q78" s="622"/>
      <c r="R78" s="622"/>
      <c r="S78" s="622"/>
      <c r="T78" s="622"/>
      <c r="U78" s="622"/>
      <c r="V78" s="622"/>
      <c r="W78" s="622"/>
      <c r="X78" s="622"/>
      <c r="Y78" s="622"/>
      <c r="Z78" s="622"/>
      <c r="AA78" s="622"/>
      <c r="AB78" s="622"/>
      <c r="AC78" s="622"/>
      <c r="AD78" s="622"/>
      <c r="AE78" s="622"/>
      <c r="AF78" s="622"/>
      <c r="AG78" s="622"/>
      <c r="AH78" s="622"/>
    </row>
    <row r="79" spans="1:34" x14ac:dyDescent="0.2">
      <c r="A79" s="30" t="s">
        <v>591</v>
      </c>
      <c r="B79" s="524">
        <f>'Datu ievade'!B138</f>
        <v>31419</v>
      </c>
      <c r="C79" s="524">
        <f>'Datu ievade'!B186*'Kopējie pieņēmumi'!C10</f>
        <v>16264.769570149674</v>
      </c>
      <c r="D79" s="524">
        <f>'Datu ievade'!C186*'Kopējie pieņēmumi'!D10</f>
        <v>16868.930908530441</v>
      </c>
      <c r="E79" s="524">
        <f>'Datu ievade'!D186*'Kopējie pieņēmumi'!E10</f>
        <v>17454.933116651715</v>
      </c>
      <c r="F79" s="524">
        <f>'Datu ievade'!E186*'Kopējie pieņēmumi'!F10</f>
        <v>18050.850942923644</v>
      </c>
      <c r="G79" s="524">
        <f>'Datu ievade'!F186*'Kopējie pieņēmumi'!G10</f>
        <v>18657.838696201045</v>
      </c>
      <c r="H79" s="524">
        <f>'Datu ievade'!G186*'Kopējie pieņēmumi'!H10</f>
        <v>18991.014387204632</v>
      </c>
      <c r="I79" s="524">
        <f>'Datu ievade'!H186*'Kopējie pieņēmumi'!I10</f>
        <v>19324.190078208219</v>
      </c>
      <c r="J79" s="524">
        <f>'Datu ievade'!I186*'Kopējie pieņēmumi'!J10</f>
        <v>19657.36576921181</v>
      </c>
      <c r="K79" s="524">
        <f>'Datu ievade'!J186*'Kopējie pieņēmumi'!K10</f>
        <v>19990.541460215401</v>
      </c>
      <c r="L79" s="524">
        <f>'Datu ievade'!K186*'Kopējie pieņēmumi'!L10</f>
        <v>20323.717151218993</v>
      </c>
      <c r="M79" s="524">
        <f>'Datu ievade'!L186*'Kopējie pieņēmumi'!M10</f>
        <v>20656.892842222584</v>
      </c>
      <c r="N79" s="524">
        <f>'Datu ievade'!M186*'Kopējie pieņēmumi'!N10</f>
        <v>20990.068533226171</v>
      </c>
      <c r="O79" s="524">
        <f>'Datu ievade'!N186*'Kopējie pieņēmumi'!O10</f>
        <v>21489.832069731558</v>
      </c>
      <c r="P79" s="524">
        <f>'Datu ievade'!O186*'Kopējie pieņēmumi'!P10</f>
        <v>21989.595606236944</v>
      </c>
      <c r="Q79" s="524">
        <f>'Datu ievade'!P186*'Kopējie pieņēmumi'!Q10</f>
        <v>22489.359142742331</v>
      </c>
      <c r="R79" s="524">
        <f>'Datu ievade'!Q186*'Kopējie pieņēmumi'!R10</f>
        <v>71289.12267924771</v>
      </c>
      <c r="S79" s="524">
        <f>'Datu ievade'!R186*'Kopējie pieņēmumi'!S10</f>
        <v>72838.886215753097</v>
      </c>
      <c r="T79" s="524">
        <f>'Datu ievade'!S186*'Kopējie pieņēmumi'!T10</f>
        <v>74388.649752258483</v>
      </c>
      <c r="U79" s="524">
        <f>'Datu ievade'!T186*'Kopējie pieņēmumi'!U10</f>
        <v>75938.41328876387</v>
      </c>
      <c r="V79" s="524">
        <f>'Datu ievade'!U186*'Kopējie pieņēmumi'!V10</f>
        <v>84988.176825269256</v>
      </c>
      <c r="W79" s="524">
        <f>'Datu ievade'!V186*'Kopējie pieņēmumi'!W10</f>
        <v>86687.940361774643</v>
      </c>
      <c r="X79" s="524">
        <f>'Datu ievade'!W186*'Kopējie pieņēmumi'!X10</f>
        <v>88387.70389828003</v>
      </c>
      <c r="Y79" s="524">
        <f>'Datu ievade'!X186*'Kopējie pieņēmumi'!Y10</f>
        <v>90087.467434785416</v>
      </c>
      <c r="Z79" s="524">
        <f>'Datu ievade'!Y186*'Kopējie pieņēmumi'!Z10</f>
        <v>91787.230971290803</v>
      </c>
      <c r="AA79" s="524">
        <f>'Datu ievade'!Z186*'Kopējie pieņēmumi'!AA10</f>
        <v>93486.994507796175</v>
      </c>
      <c r="AB79" s="524">
        <f>'Datu ievade'!AA186*'Kopējie pieņēmumi'!AB10</f>
        <v>95186.758044301561</v>
      </c>
      <c r="AC79" s="524">
        <f>'Datu ievade'!AB186*'Kopējie pieņēmumi'!AC10</f>
        <v>96886.521580806948</v>
      </c>
      <c r="AD79" s="524">
        <f>'Datu ievade'!AC186*'Kopējie pieņēmumi'!AD10</f>
        <v>98586.285117312334</v>
      </c>
      <c r="AE79" s="524">
        <f>'Datu ievade'!AD186*'Kopējie pieņēmumi'!AE10</f>
        <v>100286.04865381772</v>
      </c>
      <c r="AF79" s="524">
        <f>'Datu ievade'!AE186*'Kopējie pieņēmumi'!AF10</f>
        <v>102552.4000358249</v>
      </c>
      <c r="AG79" s="524">
        <f>'Datu ievade'!AF186*'Kopējie pieņēmumi'!AG10</f>
        <v>104818.75141783209</v>
      </c>
      <c r="AH79" s="524">
        <f>'Datu ievade'!AG186*'Kopējie pieņēmumi'!AH10</f>
        <v>107085.10279983925</v>
      </c>
    </row>
    <row r="80" spans="1:34" x14ac:dyDescent="0.2">
      <c r="A80" s="30" t="s">
        <v>592</v>
      </c>
      <c r="B80" s="524">
        <f>'Datu ievade'!B139</f>
        <v>77622</v>
      </c>
      <c r="C80" s="524">
        <f>'Datu ievade'!B187*'Kopējie pieņēmumi'!C10</f>
        <v>80365.635034479637</v>
      </c>
      <c r="D80" s="524">
        <f>'Datu ievade'!C187*'Kopējie pieņēmumi'!D10</f>
        <v>82707.44994572924</v>
      </c>
      <c r="E80" s="524">
        <f>'Datu ievade'!D187*'Kopējie pieņēmumi'!E10</f>
        <v>84504.299969674248</v>
      </c>
      <c r="F80" s="524">
        <f>'Datu ievade'!E187*'Kopējie pieņēmumi'!F10</f>
        <v>86306.903793421603</v>
      </c>
      <c r="G80" s="524">
        <f>'Datu ievade'!F187*'Kopējie pieņēmumi'!G10</f>
        <v>88115.166555291114</v>
      </c>
      <c r="H80" s="524">
        <f>'Datu ievade'!G187*'Kopējie pieņēmumi'!H10</f>
        <v>89689.791672349864</v>
      </c>
      <c r="I80" s="524">
        <f>'Datu ievade'!H187*'Kopējie pieņēmumi'!I10</f>
        <v>91264.456789408636</v>
      </c>
      <c r="J80" s="524">
        <f>'Datu ievade'!I187*'Kopējie pieņēmumi'!J10</f>
        <v>92837.981906467408</v>
      </c>
      <c r="K80" s="524">
        <f>'Datu ievade'!J187*'Kopējie pieņēmumi'!K10</f>
        <v>94411.507023526181</v>
      </c>
      <c r="L80" s="524">
        <f>'Datu ievade'!K187*'Kopējie pieņēmumi'!L10</f>
        <v>95985.032140584954</v>
      </c>
      <c r="M80" s="524">
        <f>'Datu ievade'!L187*'Kopējie pieņēmumi'!M10</f>
        <v>97558.557257643726</v>
      </c>
      <c r="N80" s="524">
        <f>'Datu ievade'!M187*'Kopējie pieņēmumi'!N10</f>
        <v>99132.082374702484</v>
      </c>
      <c r="O80" s="524">
        <f>'Datu ievade'!N187*'Kopējie pieņēmumi'!O10</f>
        <v>101492.37005029064</v>
      </c>
      <c r="P80" s="524">
        <f>'Datu ievade'!O187*'Kopējie pieņēmumi'!P10</f>
        <v>103852.6577258788</v>
      </c>
      <c r="Q80" s="524">
        <f>'Datu ievade'!P187*'Kopējie pieņēmumi'!Q10</f>
        <v>106212.94540146696</v>
      </c>
      <c r="R80" s="524">
        <f>'Datu ievade'!Q187*'Kopējie pieņēmumi'!R10</f>
        <v>108573.23307705511</v>
      </c>
      <c r="S80" s="524">
        <f>'Datu ievade'!R187*'Kopējie pieņēmumi'!S10</f>
        <v>110933.52075264325</v>
      </c>
      <c r="T80" s="524">
        <f>'Datu ievade'!S187*'Kopējie pieņēmumi'!T10</f>
        <v>113293.80842823141</v>
      </c>
      <c r="U80" s="524">
        <f>'Datu ievade'!T187*'Kopējie pieņēmumi'!U10</f>
        <v>115654.09610381957</v>
      </c>
      <c r="V80" s="524">
        <f>'Datu ievade'!U187*'Kopējie pieņēmumi'!V10</f>
        <v>118014.38377940773</v>
      </c>
      <c r="W80" s="524">
        <f>'Datu ievade'!V187*'Kopējie pieņēmumi'!W10</f>
        <v>120374.67145499589</v>
      </c>
      <c r="X80" s="524">
        <f>'Datu ievade'!W187*'Kopējie pieņēmumi'!X10</f>
        <v>122734.95913058404</v>
      </c>
      <c r="Y80" s="524">
        <f>'Datu ievade'!X187*'Kopējie pieņēmumi'!Y10</f>
        <v>125095.2468061722</v>
      </c>
      <c r="Z80" s="524">
        <f>'Datu ievade'!Y187*'Kopējie pieņēmumi'!Z10</f>
        <v>127455.53448176035</v>
      </c>
      <c r="AA80" s="524">
        <f>'Datu ievade'!Z187*'Kopējie pieņēmumi'!AA10</f>
        <v>129815.82215734849</v>
      </c>
      <c r="AB80" s="524">
        <f>'Datu ievade'!AA187*'Kopējie pieņēmumi'!AB10</f>
        <v>132176.10983293664</v>
      </c>
      <c r="AC80" s="524">
        <f>'Datu ievade'!AB187*'Kopējie pieņēmumi'!AC10</f>
        <v>134536.39750852479</v>
      </c>
      <c r="AD80" s="524">
        <f>'Datu ievade'!AC187*'Kopējie pieņēmumi'!AD10</f>
        <v>136896.68518411295</v>
      </c>
      <c r="AE80" s="524">
        <f>'Datu ievade'!AD187*'Kopējie pieņēmumi'!AE10</f>
        <v>139256.97285970111</v>
      </c>
      <c r="AF80" s="524">
        <f>'Datu ievade'!AE187*'Kopējie pieņēmumi'!AF10</f>
        <v>142404.02309381866</v>
      </c>
      <c r="AG80" s="524">
        <f>'Datu ievade'!AF187*'Kopējie pieņēmumi'!AG10</f>
        <v>145551.0733279362</v>
      </c>
      <c r="AH80" s="524">
        <f>'Datu ievade'!AG187*'Kopējie pieņēmumi'!AH10</f>
        <v>148698.12356205372</v>
      </c>
    </row>
    <row r="81" spans="1:34" x14ac:dyDescent="0.2">
      <c r="A81" s="30" t="s">
        <v>593</v>
      </c>
      <c r="B81" s="524">
        <f>'Datu ievade'!B140</f>
        <v>1918</v>
      </c>
      <c r="C81" s="524">
        <f>'Datu ievade'!B188*'Kopējie pieņēmumi'!C10</f>
        <v>1985.5719983338906</v>
      </c>
      <c r="D81" s="524">
        <f>'Datu ievade'!C188*'Kopējie pieņēmumi'!D10</f>
        <v>2059.3268603865554</v>
      </c>
      <c r="E81" s="524">
        <f>'Datu ievade'!D188*'Kopējie pieņēmumi'!E10</f>
        <v>2130.8648905067525</v>
      </c>
      <c r="F81" s="524">
        <f>'Datu ievade'!E188*'Kopējie pieņēmumi'!F10</f>
        <v>2203.6134003488537</v>
      </c>
      <c r="G81" s="524">
        <f>'Datu ievade'!F188*'Kopējie pieņēmumi'!G10</f>
        <v>2277.7133057327646</v>
      </c>
      <c r="H81" s="524">
        <f>'Datu ievade'!G188*'Kopējie pieņēmumi'!H10</f>
        <v>2318.3867576208495</v>
      </c>
      <c r="I81" s="524">
        <f>'Datu ievade'!H188*'Kopējie pieņēmumi'!I10</f>
        <v>2359.0602095089348</v>
      </c>
      <c r="J81" s="524">
        <f>'Datu ievade'!I188*'Kopējie pieņēmumi'!J10</f>
        <v>2399.7336613970197</v>
      </c>
      <c r="K81" s="524">
        <f>'Datu ievade'!J188*'Kopējie pieņēmumi'!K10</f>
        <v>2440.407113285105</v>
      </c>
      <c r="L81" s="524">
        <f>'Datu ievade'!K188*'Kopējie pieņēmumi'!L10</f>
        <v>2481.0805651731898</v>
      </c>
      <c r="M81" s="524">
        <f>'Datu ievade'!L188*'Kopējie pieņēmumi'!M10</f>
        <v>2521.7540170612751</v>
      </c>
      <c r="N81" s="524">
        <f>'Datu ievade'!M188*'Kopējie pieņēmumi'!N10</f>
        <v>2562.4274689493604</v>
      </c>
      <c r="O81" s="524">
        <f>'Datu ievade'!N188*'Kopējie pieņēmumi'!O10</f>
        <v>2623.4376467814877</v>
      </c>
      <c r="P81" s="524">
        <f>'Datu ievade'!O188*'Kopējie pieņēmumi'!P10</f>
        <v>2684.4478246136155</v>
      </c>
      <c r="Q81" s="524">
        <f>'Datu ievade'!P188*'Kopējie pieņēmumi'!Q10</f>
        <v>2745.4580024457432</v>
      </c>
      <c r="R81" s="524">
        <f>'Datu ievade'!Q188*'Kopējie pieņēmumi'!R10</f>
        <v>2806.4681802778705</v>
      </c>
      <c r="S81" s="524">
        <f>'Datu ievade'!R188*'Kopējie pieņēmumi'!S10</f>
        <v>2867.4783581099982</v>
      </c>
      <c r="T81" s="524">
        <f>'Datu ievade'!S188*'Kopējie pieņēmumi'!T10</f>
        <v>2928.488535942126</v>
      </c>
      <c r="U81" s="524">
        <f>'Datu ievade'!T188*'Kopējie pieņēmumi'!U10</f>
        <v>2989.4987137742537</v>
      </c>
      <c r="V81" s="524">
        <f>'Datu ievade'!U188*'Kopējie pieņēmumi'!V10</f>
        <v>3050.5088916063814</v>
      </c>
      <c r="W81" s="524">
        <f>'Datu ievade'!V188*'Kopējie pieņēmumi'!W10</f>
        <v>3111.5190694385087</v>
      </c>
      <c r="X81" s="524">
        <f>'Datu ievade'!W188*'Kopējie pieņēmumi'!X10</f>
        <v>3172.5292472706365</v>
      </c>
      <c r="Y81" s="524">
        <f>'Datu ievade'!X188*'Kopējie pieņēmumi'!Y10</f>
        <v>3233.5394251027642</v>
      </c>
      <c r="Z81" s="524">
        <f>'Datu ievade'!Y188*'Kopējie pieņēmumi'!Z10</f>
        <v>3294.5496029348919</v>
      </c>
      <c r="AA81" s="524">
        <f>'Datu ievade'!Z188*'Kopējie pieņēmumi'!AA10</f>
        <v>3355.5597807670192</v>
      </c>
      <c r="AB81" s="524">
        <f>'Datu ievade'!AA188*'Kopējie pieņēmumi'!AB10</f>
        <v>3416.569958599147</v>
      </c>
      <c r="AC81" s="524">
        <f>'Datu ievade'!AB188*'Kopējie pieņēmumi'!AC10</f>
        <v>3477.5801364312747</v>
      </c>
      <c r="AD81" s="524">
        <f>'Datu ievade'!AC188*'Kopējie pieņēmumi'!AD10</f>
        <v>3538.590314263402</v>
      </c>
      <c r="AE81" s="524">
        <f>'Datu ievade'!AD188*'Kopējie pieņēmumi'!AE10</f>
        <v>3599.6004920955297</v>
      </c>
      <c r="AF81" s="524">
        <f>'Datu ievade'!AE188*'Kopējie pieņēmumi'!AF10</f>
        <v>3680.9473958716999</v>
      </c>
      <c r="AG81" s="524">
        <f>'Datu ievade'!AF188*'Kopējie pieņēmumi'!AG10</f>
        <v>3762.2942996478705</v>
      </c>
      <c r="AH81" s="524">
        <f>'Datu ievade'!AG188*'Kopējie pieņēmumi'!AH10</f>
        <v>3843.6412034240402</v>
      </c>
    </row>
    <row r="82" spans="1:34" x14ac:dyDescent="0.2">
      <c r="A82" s="30" t="s">
        <v>594</v>
      </c>
      <c r="B82" s="524">
        <f>'Datu ievade'!B141</f>
        <v>43614</v>
      </c>
      <c r="C82" s="524">
        <f>'Datu ievade'!B189*'Kopējie pieņēmumi'!C10</f>
        <v>22577.792419634869</v>
      </c>
      <c r="D82" s="524">
        <f>'Datu ievade'!C189*'Kopējie pieņēmumi'!D10</f>
        <v>23416.453504078636</v>
      </c>
      <c r="E82" s="524">
        <f>'Datu ievade'!D189*'Kopējie pieņēmumi'!E10</f>
        <v>24229.90715648645</v>
      </c>
      <c r="F82" s="524">
        <f>'Datu ievade'!E189*'Kopējie pieņēmumi'!F10</f>
        <v>25057.125084333424</v>
      </c>
      <c r="G82" s="524">
        <f>'Datu ievade'!F189*'Kopējie pieņēmumi'!G10</f>
        <v>25899.709630991194</v>
      </c>
      <c r="H82" s="524">
        <f>'Datu ievade'!G189*'Kopējie pieņēmumi'!H10</f>
        <v>26362.204445830321</v>
      </c>
      <c r="I82" s="524">
        <f>'Datu ievade'!H189*'Kopējie pieņēmumi'!I10</f>
        <v>26824.699260669448</v>
      </c>
      <c r="J82" s="524">
        <f>'Datu ievade'!I189*'Kopējie pieņēmumi'!J10</f>
        <v>27287.194075508578</v>
      </c>
      <c r="K82" s="524">
        <f>'Datu ievade'!J189*'Kopējie pieņēmumi'!K10</f>
        <v>27749.688890347705</v>
      </c>
      <c r="L82" s="524">
        <f>'Datu ievade'!K189*'Kopējie pieņēmumi'!L10</f>
        <v>28212.183705186835</v>
      </c>
      <c r="M82" s="524">
        <f>'Datu ievade'!L189*'Kopējie pieņēmumi'!M10</f>
        <v>28674.678520025962</v>
      </c>
      <c r="N82" s="524">
        <f>'Datu ievade'!M189*'Kopējie pieņēmumi'!N10</f>
        <v>29137.173334865092</v>
      </c>
      <c r="O82" s="524">
        <f>'Datu ievade'!N189*'Kopējie pieņēmumi'!O10</f>
        <v>29830.915557123786</v>
      </c>
      <c r="P82" s="524">
        <f>'Datu ievade'!O189*'Kopējie pieņēmumi'!P10</f>
        <v>30524.65777938248</v>
      </c>
      <c r="Q82" s="524">
        <f>'Datu ievade'!P189*'Kopējie pieņēmumi'!Q10</f>
        <v>31218.400001641174</v>
      </c>
      <c r="R82" s="524">
        <f>'Datu ievade'!Q189*'Kopējie pieņēmumi'!R10</f>
        <v>31912.14222389986</v>
      </c>
      <c r="S82" s="524">
        <f>'Datu ievade'!R189*'Kopējie pieņēmumi'!S10</f>
        <v>32605.884446158554</v>
      </c>
      <c r="T82" s="524">
        <f>'Datu ievade'!S189*'Kopējie pieņēmumi'!T10</f>
        <v>33299.626668417244</v>
      </c>
      <c r="U82" s="524">
        <f>'Datu ievade'!T189*'Kopējie pieņēmumi'!U10</f>
        <v>33993.368890675942</v>
      </c>
      <c r="V82" s="524">
        <f>'Datu ievade'!U189*'Kopējie pieņēmumi'!V10</f>
        <v>34687.111112934632</v>
      </c>
      <c r="W82" s="524">
        <f>'Datu ievade'!V189*'Kopējie pieņēmumi'!W10</f>
        <v>35380.853335193329</v>
      </c>
      <c r="X82" s="524">
        <f>'Datu ievade'!W189*'Kopējie pieņēmumi'!X10</f>
        <v>36074.595557452019</v>
      </c>
      <c r="Y82" s="524">
        <f>'Datu ievade'!X189*'Kopējie pieņēmumi'!Y10</f>
        <v>36768.337779710717</v>
      </c>
      <c r="Z82" s="524">
        <f>'Datu ievade'!Y189*'Kopējie pieņēmumi'!Z10</f>
        <v>37462.080001969407</v>
      </c>
      <c r="AA82" s="524">
        <f>'Datu ievade'!Z189*'Kopējie pieņēmumi'!AA10</f>
        <v>38155.822224228097</v>
      </c>
      <c r="AB82" s="524">
        <f>'Datu ievade'!AA189*'Kopējie pieņēmumi'!AB10</f>
        <v>38849.564446486787</v>
      </c>
      <c r="AC82" s="524">
        <f>'Datu ievade'!AB189*'Kopējie pieņēmumi'!AC10</f>
        <v>39543.306668745485</v>
      </c>
      <c r="AD82" s="524">
        <f>'Datu ievade'!AC189*'Kopējie pieņēmumi'!AD10</f>
        <v>40237.048891004175</v>
      </c>
      <c r="AE82" s="524">
        <f>'Datu ievade'!AD189*'Kopējie pieņēmumi'!AE10</f>
        <v>40930.791113262865</v>
      </c>
      <c r="AF82" s="524">
        <f>'Datu ievade'!AE189*'Kopējie pieņēmumi'!AF10</f>
        <v>41855.780742941126</v>
      </c>
      <c r="AG82" s="524">
        <f>'Datu ievade'!AF189*'Kopējie pieņēmumi'!AG10</f>
        <v>42780.770372619387</v>
      </c>
      <c r="AH82" s="524">
        <f>'Datu ievade'!AG189*'Kopējie pieņēmumi'!AH10</f>
        <v>43705.760002297633</v>
      </c>
    </row>
    <row r="83" spans="1:34" ht="25.5" x14ac:dyDescent="0.2">
      <c r="A83" s="30" t="s">
        <v>595</v>
      </c>
      <c r="B83" s="524">
        <f>'Datu ievade'!B142</f>
        <v>19670</v>
      </c>
      <c r="C83" s="524">
        <f>'Datu ievade'!B190*'Kopējie pieņēmumi'!C10</f>
        <v>10182.628901137659</v>
      </c>
      <c r="D83" s="524">
        <f>'Datu ievade'!C190*'Kopējie pieņēmumi'!D10</f>
        <v>10560.866703930546</v>
      </c>
      <c r="E83" s="524">
        <f>'Datu ievade'!D190*'Kopējie pieņēmumi'!E10</f>
        <v>10927.735905170099</v>
      </c>
      <c r="F83" s="524">
        <f>'Datu ievade'!E190*'Kopējie pieņēmumi'!F10</f>
        <v>11300.812821773712</v>
      </c>
      <c r="G83" s="524">
        <f>'Datu ievade'!F190*'Kopējie pieņēmumi'!G10</f>
        <v>11680.820113761567</v>
      </c>
      <c r="H83" s="524">
        <f>'Datu ievade'!G190*'Kopējie pieņēmumi'!H10</f>
        <v>11889.406187221592</v>
      </c>
      <c r="I83" s="524">
        <f>'Datu ievade'!H190*'Kopējie pieņēmumi'!I10</f>
        <v>12097.99226068162</v>
      </c>
      <c r="J83" s="524">
        <f>'Datu ievade'!I190*'Kopējie pieņēmumi'!J10</f>
        <v>12306.578334141648</v>
      </c>
      <c r="K83" s="524">
        <f>'Datu ievade'!J190*'Kopējie pieņēmumi'!K10</f>
        <v>12515.164407601676</v>
      </c>
      <c r="L83" s="524">
        <f>'Datu ievade'!K190*'Kopējie pieņēmumi'!L10</f>
        <v>12723.750481061705</v>
      </c>
      <c r="M83" s="524">
        <f>'Datu ievade'!L190*'Kopējie pieņēmumi'!M10</f>
        <v>12932.336554521733</v>
      </c>
      <c r="N83" s="524">
        <f>'Datu ievade'!M190*'Kopējie pieņēmumi'!N10</f>
        <v>13140.922627981761</v>
      </c>
      <c r="O83" s="524">
        <f>'Datu ievade'!N190*'Kopējie pieņēmumi'!O10</f>
        <v>13453.801738171804</v>
      </c>
      <c r="P83" s="524">
        <f>'Datu ievade'!O190*'Kopējie pieņēmumi'!P10</f>
        <v>13766.680848361844</v>
      </c>
      <c r="Q83" s="524">
        <f>'Datu ievade'!P190*'Kopējie pieņēmumi'!Q10</f>
        <v>14079.559958551887</v>
      </c>
      <c r="R83" s="524">
        <f>'Datu ievade'!Q190*'Kopējie pieņēmumi'!R10</f>
        <v>14392.439068741927</v>
      </c>
      <c r="S83" s="524">
        <f>'Datu ievade'!R190*'Kopējie pieņēmumi'!S10</f>
        <v>14705.31817893197</v>
      </c>
      <c r="T83" s="524">
        <f>'Datu ievade'!S190*'Kopējie pieņēmumi'!T10</f>
        <v>15018.197289122012</v>
      </c>
      <c r="U83" s="524">
        <f>'Datu ievade'!T190*'Kopējie pieņēmumi'!U10</f>
        <v>15331.076399312054</v>
      </c>
      <c r="V83" s="524">
        <f>'Datu ievade'!U190*'Kopējie pieņēmumi'!V10</f>
        <v>15643.955509502095</v>
      </c>
      <c r="W83" s="524">
        <f>'Datu ievade'!V190*'Kopējie pieņēmumi'!W10</f>
        <v>15956.834619692137</v>
      </c>
      <c r="X83" s="524">
        <f>'Datu ievade'!W190*'Kopējie pieņēmumi'!X10</f>
        <v>16269.71372988218</v>
      </c>
      <c r="Y83" s="524">
        <f>'Datu ievade'!X190*'Kopējie pieņēmumi'!Y10</f>
        <v>16582.592840072222</v>
      </c>
      <c r="Z83" s="524">
        <f>'Datu ievade'!Y190*'Kopējie pieņēmumi'!Z10</f>
        <v>16895.471950262265</v>
      </c>
      <c r="AA83" s="524">
        <f>'Datu ievade'!Z190*'Kopējie pieņēmumi'!AA10</f>
        <v>17208.351060452303</v>
      </c>
      <c r="AB83" s="524">
        <f>'Datu ievade'!AA190*'Kopējie pieņēmumi'!AB10</f>
        <v>17521.230170642346</v>
      </c>
      <c r="AC83" s="524">
        <f>'Datu ievade'!AB190*'Kopējie pieņēmumi'!AC10</f>
        <v>52034.109280832388</v>
      </c>
      <c r="AD83" s="524">
        <f>'Datu ievade'!AC190*'Kopējie pieņēmumi'!AD10</f>
        <v>122546.98839102243</v>
      </c>
      <c r="AE83" s="524">
        <f>'Datu ievade'!AD190*'Kopējie pieņēmumi'!AE10</f>
        <v>124659.86750121247</v>
      </c>
      <c r="AF83" s="524">
        <f>'Datu ievade'!AE190*'Kopējie pieņēmumi'!AF10</f>
        <v>127477.03964813253</v>
      </c>
      <c r="AG83" s="524">
        <f>'Datu ievade'!AF190*'Kopējie pieņēmumi'!AG10</f>
        <v>130294.2117950526</v>
      </c>
      <c r="AH83" s="524">
        <f>'Datu ievade'!AG190*'Kopējie pieņēmumi'!AH10</f>
        <v>133111.38394197263</v>
      </c>
    </row>
    <row r="84" spans="1:34" x14ac:dyDescent="0.2">
      <c r="A84" s="523" t="s">
        <v>57</v>
      </c>
      <c r="B84" s="525">
        <f t="shared" ref="B84:AH84" si="32">SUM(B73:B83)</f>
        <v>271292</v>
      </c>
      <c r="C84" s="525">
        <f t="shared" si="32"/>
        <v>223920.77848869486</v>
      </c>
      <c r="D84" s="525">
        <f t="shared" si="32"/>
        <v>231040.6565003588</v>
      </c>
      <c r="E84" s="525">
        <f t="shared" si="32"/>
        <v>236858.15407180175</v>
      </c>
      <c r="F84" s="525">
        <f t="shared" si="32"/>
        <v>242601.59519840928</v>
      </c>
      <c r="G84" s="525">
        <f t="shared" si="32"/>
        <v>248395.02361191536</v>
      </c>
      <c r="H84" s="525">
        <f t="shared" si="32"/>
        <v>252831.78903355665</v>
      </c>
      <c r="I84" s="525">
        <f t="shared" si="32"/>
        <v>257268.59445519801</v>
      </c>
      <c r="J84" s="525">
        <f t="shared" si="32"/>
        <v>261704.25987683935</v>
      </c>
      <c r="K84" s="525">
        <f t="shared" si="32"/>
        <v>266139.92529848072</v>
      </c>
      <c r="L84" s="525">
        <f t="shared" si="32"/>
        <v>270575.59072012204</v>
      </c>
      <c r="M84" s="525">
        <f t="shared" si="32"/>
        <v>275011.25614176347</v>
      </c>
      <c r="N84" s="525">
        <f t="shared" si="32"/>
        <v>279446.92156340473</v>
      </c>
      <c r="O84" s="525">
        <f t="shared" si="32"/>
        <v>286100.41969586676</v>
      </c>
      <c r="P84" s="525">
        <f t="shared" si="32"/>
        <v>292753.91782832885</v>
      </c>
      <c r="Q84" s="525">
        <f t="shared" si="32"/>
        <v>299407.41596079088</v>
      </c>
      <c r="R84" s="525">
        <f t="shared" si="32"/>
        <v>354360.9140932528</v>
      </c>
      <c r="S84" s="525">
        <f t="shared" si="32"/>
        <v>362064.41222571483</v>
      </c>
      <c r="T84" s="525">
        <f t="shared" si="32"/>
        <v>369767.91035817686</v>
      </c>
      <c r="U84" s="525">
        <f t="shared" si="32"/>
        <v>377471.40849063889</v>
      </c>
      <c r="V84" s="525">
        <f t="shared" si="32"/>
        <v>392674.90662310092</v>
      </c>
      <c r="W84" s="525">
        <f t="shared" si="32"/>
        <v>400528.40475556295</v>
      </c>
      <c r="X84" s="525">
        <f t="shared" si="32"/>
        <v>408381.90288802504</v>
      </c>
      <c r="Y84" s="525">
        <f t="shared" si="32"/>
        <v>416235.40102048701</v>
      </c>
      <c r="Z84" s="525">
        <f t="shared" si="32"/>
        <v>424088.89915294904</v>
      </c>
      <c r="AA84" s="525">
        <f t="shared" si="32"/>
        <v>431942.39728541102</v>
      </c>
      <c r="AB84" s="525">
        <f t="shared" si="32"/>
        <v>439795.89541787305</v>
      </c>
      <c r="AC84" s="525">
        <f t="shared" si="32"/>
        <v>481849.39355033502</v>
      </c>
      <c r="AD84" s="525">
        <f t="shared" si="32"/>
        <v>572082.89168279711</v>
      </c>
      <c r="AE84" s="525">
        <f t="shared" si="32"/>
        <v>581946.38981525903</v>
      </c>
      <c r="AF84" s="525">
        <f t="shared" si="32"/>
        <v>595097.72065854177</v>
      </c>
      <c r="AG84" s="525">
        <f t="shared" si="32"/>
        <v>608249.05150182452</v>
      </c>
      <c r="AH84" s="525">
        <f t="shared" si="32"/>
        <v>621400.38234510715</v>
      </c>
    </row>
    <row r="85" spans="1:34" x14ac:dyDescent="0.2">
      <c r="A85" s="621"/>
      <c r="B85" s="622"/>
      <c r="C85" s="622"/>
      <c r="D85" s="622"/>
      <c r="E85" s="622"/>
      <c r="F85" s="622"/>
      <c r="G85" s="622"/>
      <c r="H85" s="622"/>
      <c r="I85" s="622"/>
      <c r="J85" s="622"/>
      <c r="K85" s="622"/>
      <c r="L85" s="622"/>
      <c r="M85" s="622"/>
      <c r="N85" s="622"/>
      <c r="O85" s="622"/>
      <c r="P85" s="622"/>
      <c r="Q85" s="622"/>
      <c r="R85" s="622"/>
      <c r="S85" s="622"/>
      <c r="T85" s="622"/>
      <c r="U85" s="622"/>
      <c r="V85" s="622"/>
      <c r="W85" s="622"/>
      <c r="X85" s="622"/>
      <c r="Y85" s="622"/>
      <c r="Z85" s="622"/>
      <c r="AA85" s="622"/>
      <c r="AB85" s="622"/>
      <c r="AC85" s="622"/>
      <c r="AD85" s="622"/>
      <c r="AE85" s="622"/>
      <c r="AF85" s="622"/>
      <c r="AG85" s="622"/>
      <c r="AH85" s="622"/>
    </row>
    <row r="86" spans="1:34" x14ac:dyDescent="0.2">
      <c r="A86" s="621" t="s">
        <v>291</v>
      </c>
      <c r="B86" s="622"/>
      <c r="C86" s="622"/>
      <c r="D86" s="622"/>
      <c r="E86" s="622"/>
      <c r="F86" s="622"/>
      <c r="G86" s="622"/>
      <c r="H86" s="622"/>
      <c r="I86" s="622"/>
      <c r="J86" s="622"/>
      <c r="K86" s="622"/>
      <c r="L86" s="622"/>
      <c r="M86" s="622"/>
      <c r="N86" s="622"/>
      <c r="O86" s="622"/>
      <c r="P86" s="622"/>
      <c r="Q86" s="622"/>
      <c r="R86" s="622"/>
      <c r="S86" s="622"/>
      <c r="T86" s="622"/>
      <c r="U86" s="622"/>
      <c r="V86" s="622"/>
      <c r="W86" s="622"/>
      <c r="X86" s="622"/>
      <c r="Y86" s="622"/>
      <c r="Z86" s="622"/>
      <c r="AA86" s="622"/>
      <c r="AB86" s="622"/>
      <c r="AC86" s="622"/>
      <c r="AD86" s="622"/>
      <c r="AE86" s="622"/>
      <c r="AF86" s="622"/>
      <c r="AG86" s="622"/>
      <c r="AH86" s="622"/>
    </row>
    <row r="87" spans="1:34" x14ac:dyDescent="0.2">
      <c r="A87" s="621" t="s">
        <v>299</v>
      </c>
      <c r="B87" s="622"/>
      <c r="C87" s="622"/>
      <c r="D87" s="622"/>
      <c r="E87" s="622"/>
      <c r="F87" s="622"/>
      <c r="G87" s="622"/>
      <c r="H87" s="622"/>
      <c r="I87" s="622"/>
      <c r="J87" s="622"/>
      <c r="K87" s="622"/>
      <c r="L87" s="622"/>
      <c r="M87" s="622"/>
      <c r="N87" s="622"/>
      <c r="O87" s="622"/>
      <c r="P87" s="622"/>
      <c r="Q87" s="622"/>
      <c r="R87" s="622"/>
      <c r="S87" s="622"/>
      <c r="T87" s="622"/>
      <c r="U87" s="622"/>
      <c r="V87" s="622"/>
      <c r="W87" s="622"/>
      <c r="X87" s="622"/>
      <c r="Y87" s="622"/>
      <c r="Z87" s="622"/>
      <c r="AA87" s="622"/>
      <c r="AB87" s="622"/>
      <c r="AC87" s="622"/>
      <c r="AD87" s="622"/>
      <c r="AE87" s="622"/>
      <c r="AF87" s="622"/>
      <c r="AG87" s="622"/>
      <c r="AH87" s="622"/>
    </row>
    <row r="88" spans="1:34" x14ac:dyDescent="0.2">
      <c r="A88" s="30" t="s">
        <v>596</v>
      </c>
      <c r="B88" s="524">
        <f>'Datu ievade'!B133</f>
        <v>107237</v>
      </c>
      <c r="C88" s="524">
        <f>'Datu ievade'!B181*'Kopējie pieņēmumi'!C12</f>
        <v>110454.11</v>
      </c>
      <c r="D88" s="524">
        <f>'Datu ievade'!C181*'Kopējie pieņēmumi'!D12</f>
        <v>113671.22</v>
      </c>
      <c r="E88" s="524">
        <f>'Datu ievade'!D181*'Kopējie pieņēmumi'!E12</f>
        <v>115815.96</v>
      </c>
      <c r="F88" s="524">
        <f>'Datu ievade'!E181*'Kopējie pieņēmumi'!F12</f>
        <v>117960.70000000001</v>
      </c>
      <c r="G88" s="524">
        <f>'Datu ievade'!F181*'Kopējie pieņēmumi'!G12</f>
        <v>120105.44000000002</v>
      </c>
      <c r="H88" s="524">
        <f>'Datu ievade'!G181*'Kopējie pieņēmumi'!H12</f>
        <v>122250.18</v>
      </c>
      <c r="I88" s="524">
        <f>'Datu ievade'!H181*'Kopējie pieņēmumi'!I12</f>
        <v>124394.92</v>
      </c>
      <c r="J88" s="524">
        <f>'Datu ievade'!I181*'Kopējie pieņēmumi'!J12</f>
        <v>126539.65999999999</v>
      </c>
      <c r="K88" s="524">
        <f>'Datu ievade'!J181*'Kopējie pieņēmumi'!K12</f>
        <v>128684.4</v>
      </c>
      <c r="L88" s="524">
        <f>'Datu ievade'!K181*'Kopējie pieņēmumi'!L12</f>
        <v>131901.51</v>
      </c>
      <c r="M88" s="524">
        <f>'Datu ievade'!L181*'Kopējie pieņēmumi'!M12</f>
        <v>135118.62</v>
      </c>
      <c r="N88" s="524">
        <f>'Datu ievade'!M181*'Kopējie pieņēmumi'!N12</f>
        <v>138335.73000000001</v>
      </c>
      <c r="O88" s="524">
        <f>'Datu ievade'!N181*'Kopējie pieņēmumi'!O12</f>
        <v>141552.84</v>
      </c>
      <c r="P88" s="524">
        <f>'Datu ievade'!O181*'Kopējie pieņēmumi'!P12</f>
        <v>144769.95000000001</v>
      </c>
      <c r="Q88" s="524">
        <f>'Datu ievade'!P181*'Kopējie pieņēmumi'!Q12</f>
        <v>147987.06</v>
      </c>
      <c r="R88" s="524">
        <f>'Datu ievade'!Q181*'Kopējie pieņēmumi'!R12</f>
        <v>151204.16999999998</v>
      </c>
      <c r="S88" s="524">
        <f>'Datu ievade'!R181*'Kopējie pieņēmumi'!S12</f>
        <v>154421.28</v>
      </c>
      <c r="T88" s="524">
        <f>'Datu ievade'!S181*'Kopējie pieņēmumi'!T12</f>
        <v>157638.38999999998</v>
      </c>
      <c r="U88" s="524">
        <f>'Datu ievade'!T181*'Kopējie pieņēmumi'!U12</f>
        <v>160855.5</v>
      </c>
      <c r="V88" s="524">
        <f>'Datu ievade'!U181*'Kopējie pieņēmumi'!V12</f>
        <v>164072.61000000002</v>
      </c>
      <c r="W88" s="524">
        <f>'Datu ievade'!V181*'Kopējie pieņēmumi'!W12</f>
        <v>167289.72</v>
      </c>
      <c r="X88" s="524">
        <f>'Datu ievade'!W181*'Kopējie pieņēmumi'!X12</f>
        <v>170506.83000000002</v>
      </c>
      <c r="Y88" s="524">
        <f>'Datu ievade'!X181*'Kopējie pieņēmumi'!Y12</f>
        <v>173723.94</v>
      </c>
      <c r="Z88" s="524">
        <f>'Datu ievade'!Y181*'Kopējie pieņēmumi'!Z12</f>
        <v>176941.05</v>
      </c>
      <c r="AA88" s="524">
        <f>'Datu ievade'!Z181*'Kopējie pieņēmumi'!AA12</f>
        <v>180158.16</v>
      </c>
      <c r="AB88" s="524">
        <f>'Datu ievade'!AA181*'Kopējie pieņēmumi'!AB12</f>
        <v>184447.63999999998</v>
      </c>
      <c r="AC88" s="524">
        <f>'Datu ievade'!AB181*'Kopējie pieņēmumi'!AC12</f>
        <v>188737.12</v>
      </c>
      <c r="AD88" s="524">
        <f>'Datu ievade'!AC181*'Kopējie pieņēmumi'!AD12</f>
        <v>193026.6</v>
      </c>
      <c r="AE88" s="524">
        <f>'Datu ievade'!AD181*'Kopējie pieņēmumi'!AE12</f>
        <v>197316.08000000002</v>
      </c>
      <c r="AF88" s="524">
        <f>'Datu ievade'!AE181*'Kopējie pieņēmumi'!AF12</f>
        <v>201605.56</v>
      </c>
      <c r="AG88" s="524">
        <f>'Datu ievade'!AF181*'Kopējie pieņēmumi'!AG12</f>
        <v>205895.03999999998</v>
      </c>
      <c r="AH88" s="524">
        <f>'Datu ievade'!AG181*'Kopējie pieņēmumi'!AH12</f>
        <v>210184.52</v>
      </c>
    </row>
    <row r="89" spans="1:34" x14ac:dyDescent="0.2">
      <c r="A89" s="30" t="s">
        <v>379</v>
      </c>
      <c r="B89" s="524">
        <f>'Datu ievade'!B134</f>
        <v>25833.3933</v>
      </c>
      <c r="C89" s="524">
        <f>C88*'Kopējie pieņēmumi'!C16</f>
        <v>26608.395099000001</v>
      </c>
      <c r="D89" s="524">
        <f>D88*'Kopējie pieņēmumi'!D16</f>
        <v>27383.396897999999</v>
      </c>
      <c r="E89" s="524">
        <f>E88*'Kopējie pieņēmumi'!E16</f>
        <v>27900.064764000002</v>
      </c>
      <c r="F89" s="524">
        <f>F88*'Kopējie pieņēmumi'!F16</f>
        <v>28416.732630000002</v>
      </c>
      <c r="G89" s="524">
        <f>G88*'Kopējie pieņēmumi'!G16</f>
        <v>28933.400496000006</v>
      </c>
      <c r="H89" s="524">
        <f>H88*'Kopējie pieņēmumi'!H16</f>
        <v>29450.068361999998</v>
      </c>
      <c r="I89" s="524">
        <f>I88*'Kopējie pieņēmumi'!I16</f>
        <v>29966.736228000002</v>
      </c>
      <c r="J89" s="524">
        <f>J88*'Kopējie pieņēmumi'!J16</f>
        <v>30483.404093999998</v>
      </c>
      <c r="K89" s="524">
        <f>K88*'Kopējie pieņēmumi'!K16</f>
        <v>31000.071959999997</v>
      </c>
      <c r="L89" s="524">
        <f>L88*'Kopējie pieņēmumi'!L16</f>
        <v>31775.073759000003</v>
      </c>
      <c r="M89" s="524">
        <f>M88*'Kopējie pieņēmumi'!M16</f>
        <v>32550.075558</v>
      </c>
      <c r="N89" s="524">
        <f>N88*'Kopējie pieņēmumi'!N16</f>
        <v>33325.077357000002</v>
      </c>
      <c r="O89" s="524">
        <f>O88*'Kopējie pieņēmumi'!O16</f>
        <v>34100.079156</v>
      </c>
      <c r="P89" s="524">
        <f>P88*'Kopējie pieņēmumi'!P16</f>
        <v>34875.080955000005</v>
      </c>
      <c r="Q89" s="524">
        <f>Q88*'Kopējie pieņēmumi'!Q16</f>
        <v>35650.082754000003</v>
      </c>
      <c r="R89" s="524">
        <f>R88*'Kopējie pieņēmumi'!R16</f>
        <v>36425.084552999993</v>
      </c>
      <c r="S89" s="524">
        <f>S88*'Kopējie pieņēmumi'!S16</f>
        <v>37200.086351999998</v>
      </c>
      <c r="T89" s="524">
        <f>T88*'Kopējie pieņēmumi'!T16</f>
        <v>37975.088150999996</v>
      </c>
      <c r="U89" s="524">
        <f>U88*'Kopējie pieņēmumi'!U16</f>
        <v>38750.089950000001</v>
      </c>
      <c r="V89" s="524">
        <f>V88*'Kopējie pieņēmumi'!V16</f>
        <v>39525.091749000007</v>
      </c>
      <c r="W89" s="524">
        <f>W88*'Kopējie pieņēmumi'!W16</f>
        <v>40300.093548000004</v>
      </c>
      <c r="X89" s="524">
        <f>X88*'Kopējie pieņēmumi'!X16</f>
        <v>41075.095347000002</v>
      </c>
      <c r="Y89" s="524">
        <f>Y88*'Kopējie pieņēmumi'!Y16</f>
        <v>41850.097146</v>
      </c>
      <c r="Z89" s="524">
        <f>Z88*'Kopējie pieņēmumi'!Z16</f>
        <v>42625.098944999998</v>
      </c>
      <c r="AA89" s="524">
        <f>AA88*'Kopējie pieņēmumi'!AA16</f>
        <v>43400.100744000003</v>
      </c>
      <c r="AB89" s="524">
        <f>AB88*'Kopējie pieņēmumi'!AB16</f>
        <v>44433.436475999995</v>
      </c>
      <c r="AC89" s="524">
        <f>AC88*'Kopējie pieņēmumi'!AC16</f>
        <v>45466.772208000002</v>
      </c>
      <c r="AD89" s="524">
        <f>AD88*'Kopējie pieņēmumi'!AD16</f>
        <v>46500.107940000002</v>
      </c>
      <c r="AE89" s="524">
        <f>AE88*'Kopējie pieņēmumi'!AE16</f>
        <v>47533.443672000001</v>
      </c>
      <c r="AF89" s="524">
        <f>AF88*'Kopējie pieņēmumi'!AF16</f>
        <v>48566.779404000001</v>
      </c>
      <c r="AG89" s="524">
        <f>AG88*'Kopējie pieņēmumi'!AG16</f>
        <v>49600.115135999993</v>
      </c>
      <c r="AH89" s="524">
        <f>AH88*'Kopējie pieņēmumi'!AH16</f>
        <v>50633.450868</v>
      </c>
    </row>
    <row r="90" spans="1:34" x14ac:dyDescent="0.2">
      <c r="A90" s="30" t="s">
        <v>597</v>
      </c>
      <c r="B90" s="524">
        <f>'Datu ievade'!B135</f>
        <v>956</v>
      </c>
      <c r="C90" s="524">
        <f>'Datu ievade'!B183*'Kopējie pieņēmumi'!C10</f>
        <v>984.68000000000006</v>
      </c>
      <c r="D90" s="524">
        <f>'Datu ievade'!C183*'Kopējie pieņēmumi'!D10</f>
        <v>1013.36</v>
      </c>
      <c r="E90" s="524">
        <f>'Datu ievade'!D183*'Kopējie pieņēmumi'!E10</f>
        <v>1032.48</v>
      </c>
      <c r="F90" s="524">
        <f>'Datu ievade'!E183*'Kopējie pieņēmumi'!F10</f>
        <v>1051.6000000000001</v>
      </c>
      <c r="G90" s="524">
        <f>'Datu ievade'!F183*'Kopējie pieņēmumi'!G10</f>
        <v>1070.72</v>
      </c>
      <c r="H90" s="524">
        <f>'Datu ievade'!G183*'Kopējie pieņēmumi'!H10</f>
        <v>1089.8399999999999</v>
      </c>
      <c r="I90" s="524">
        <f>'Datu ievade'!H183*'Kopējie pieņēmumi'!I10</f>
        <v>1108.96</v>
      </c>
      <c r="J90" s="524">
        <f>'Datu ievade'!I183*'Kopējie pieņēmumi'!J10</f>
        <v>1128.08</v>
      </c>
      <c r="K90" s="524">
        <f>'Datu ievade'!J183*'Kopējie pieņēmumi'!K10</f>
        <v>1147.2</v>
      </c>
      <c r="L90" s="524">
        <f>'Datu ievade'!K183*'Kopējie pieņēmumi'!L10</f>
        <v>1166.32</v>
      </c>
      <c r="M90" s="524">
        <f>'Datu ievade'!L183*'Kopējie pieņēmumi'!M10</f>
        <v>1185.44</v>
      </c>
      <c r="N90" s="524">
        <f>'Datu ievade'!M183*'Kopējie pieņēmumi'!N10</f>
        <v>1204.56</v>
      </c>
      <c r="O90" s="524">
        <f>'Datu ievade'!N183*'Kopējie pieņēmumi'!O10</f>
        <v>1233.24</v>
      </c>
      <c r="P90" s="524">
        <f>'Datu ievade'!O183*'Kopējie pieņēmumi'!P10</f>
        <v>1261.92</v>
      </c>
      <c r="Q90" s="524">
        <f>'Datu ievade'!P183*'Kopējie pieņēmumi'!Q10</f>
        <v>1290.6000000000001</v>
      </c>
      <c r="R90" s="524">
        <f>'Datu ievade'!Q183*'Kopējie pieņēmumi'!R10</f>
        <v>1319.28</v>
      </c>
      <c r="S90" s="524">
        <f>'Datu ievade'!R183*'Kopējie pieņēmumi'!S10</f>
        <v>1347.96</v>
      </c>
      <c r="T90" s="524">
        <f>'Datu ievade'!S183*'Kopējie pieņēmumi'!T10</f>
        <v>1376.6399999999999</v>
      </c>
      <c r="U90" s="524">
        <f>'Datu ievade'!T183*'Kopējie pieņēmumi'!U10</f>
        <v>1405.32</v>
      </c>
      <c r="V90" s="524">
        <f>'Datu ievade'!U183*'Kopējie pieņēmumi'!V10</f>
        <v>1434</v>
      </c>
      <c r="W90" s="524">
        <f>'Datu ievade'!V183*'Kopējie pieņēmumi'!W10</f>
        <v>1462.68</v>
      </c>
      <c r="X90" s="524">
        <f>'Datu ievade'!W183*'Kopējie pieņēmumi'!X10</f>
        <v>1491.3600000000001</v>
      </c>
      <c r="Y90" s="524">
        <f>'Datu ievade'!X183*'Kopējie pieņēmumi'!Y10</f>
        <v>1520.04</v>
      </c>
      <c r="Z90" s="524">
        <f>'Datu ievade'!Y183*'Kopējie pieņēmumi'!Z10</f>
        <v>1548.72</v>
      </c>
      <c r="AA90" s="524">
        <f>'Datu ievade'!Z183*'Kopējie pieņēmumi'!AA10</f>
        <v>1577.3999999999999</v>
      </c>
      <c r="AB90" s="524">
        <f>'Datu ievade'!AA183*'Kopējie pieņēmumi'!AB10</f>
        <v>1606.08</v>
      </c>
      <c r="AC90" s="524">
        <f>'Datu ievade'!AB183*'Kopējie pieņēmumi'!AC10</f>
        <v>1634.76</v>
      </c>
      <c r="AD90" s="524">
        <f>'Datu ievade'!AC183*'Kopējie pieņēmumi'!AD10</f>
        <v>1663.44</v>
      </c>
      <c r="AE90" s="524">
        <f>'Datu ievade'!AD183*'Kopējie pieņēmumi'!AE10</f>
        <v>1692.1200000000001</v>
      </c>
      <c r="AF90" s="524">
        <f>'Datu ievade'!AE183*'Kopējie pieņēmumi'!AF10</f>
        <v>1730.3600000000001</v>
      </c>
      <c r="AG90" s="524">
        <f>'Datu ievade'!AF183*'Kopējie pieņēmumi'!AG10</f>
        <v>1768.6000000000001</v>
      </c>
      <c r="AH90" s="524">
        <f>'Datu ievade'!AG183*'Kopējie pieņēmumi'!AH10</f>
        <v>1806.84</v>
      </c>
    </row>
    <row r="91" spans="1:34" x14ac:dyDescent="0.2">
      <c r="A91" s="621" t="s">
        <v>295</v>
      </c>
      <c r="B91" s="622"/>
      <c r="C91" s="622"/>
      <c r="D91" s="622"/>
      <c r="E91" s="622"/>
      <c r="F91" s="622"/>
      <c r="G91" s="622"/>
      <c r="H91" s="622"/>
      <c r="I91" s="622"/>
      <c r="J91" s="622"/>
      <c r="K91" s="622"/>
      <c r="L91" s="622"/>
      <c r="M91" s="622"/>
      <c r="N91" s="622"/>
      <c r="O91" s="622"/>
      <c r="P91" s="622"/>
      <c r="Q91" s="622"/>
      <c r="R91" s="622"/>
      <c r="S91" s="622"/>
      <c r="T91" s="622"/>
      <c r="U91" s="622"/>
      <c r="V91" s="622"/>
      <c r="W91" s="622"/>
      <c r="X91" s="622"/>
      <c r="Y91" s="622"/>
      <c r="Z91" s="622"/>
      <c r="AA91" s="622"/>
      <c r="AB91" s="622"/>
      <c r="AC91" s="622"/>
      <c r="AD91" s="622"/>
      <c r="AE91" s="622"/>
      <c r="AF91" s="622"/>
      <c r="AG91" s="622"/>
      <c r="AH91" s="622"/>
    </row>
    <row r="92" spans="1:34" x14ac:dyDescent="0.2">
      <c r="A92" s="30" t="s">
        <v>596</v>
      </c>
      <c r="B92" s="524">
        <f>'Datu ievade'!B144</f>
        <v>178227</v>
      </c>
      <c r="C92" s="524">
        <f>'Datu ievade'!B192*'Kopējie pieņēmumi'!C12</f>
        <v>183573.81</v>
      </c>
      <c r="D92" s="524">
        <f>'Datu ievade'!C192*'Kopējie pieņēmumi'!D12</f>
        <v>188920.62</v>
      </c>
      <c r="E92" s="524">
        <f>'Datu ievade'!D192*'Kopējie pieņēmumi'!E12</f>
        <v>192485.16</v>
      </c>
      <c r="F92" s="524">
        <f>'Datu ievade'!E192*'Kopējie pieņēmumi'!F12</f>
        <v>196049.7</v>
      </c>
      <c r="G92" s="524">
        <f>'Datu ievade'!F192*'Kopējie pieņēmumi'!G12</f>
        <v>199614.24000000002</v>
      </c>
      <c r="H92" s="524">
        <f>'Datu ievade'!G192*'Kopējie pieņēmumi'!H12</f>
        <v>203178.77999999997</v>
      </c>
      <c r="I92" s="524">
        <f>'Datu ievade'!H192*'Kopējie pieņēmumi'!I12</f>
        <v>206743.31999999998</v>
      </c>
      <c r="J92" s="524">
        <f>'Datu ievade'!I192*'Kopējie pieņēmumi'!J12</f>
        <v>210307.86</v>
      </c>
      <c r="K92" s="524">
        <f>'Datu ievade'!J192*'Kopējie pieņēmumi'!K12</f>
        <v>213872.4</v>
      </c>
      <c r="L92" s="524">
        <f>'Datu ievade'!K192*'Kopējie pieņēmumi'!L12</f>
        <v>219219.21</v>
      </c>
      <c r="M92" s="524">
        <f>'Datu ievade'!L192*'Kopējie pieņēmumi'!M12</f>
        <v>224566.02</v>
      </c>
      <c r="N92" s="524">
        <f>'Datu ievade'!M192*'Kopējie pieņēmumi'!N12</f>
        <v>229912.83000000002</v>
      </c>
      <c r="O92" s="524">
        <f>'Datu ievade'!N192*'Kopējie pieņēmumi'!O12</f>
        <v>235259.64</v>
      </c>
      <c r="P92" s="524">
        <f>'Datu ievade'!O192*'Kopējie pieņēmumi'!P12</f>
        <v>240606.45</v>
      </c>
      <c r="Q92" s="524">
        <f>'Datu ievade'!P192*'Kopējie pieņēmumi'!Q12</f>
        <v>245953.25999999998</v>
      </c>
      <c r="R92" s="524">
        <f>'Datu ievade'!Q192*'Kopējie pieņēmumi'!R12</f>
        <v>251300.06999999998</v>
      </c>
      <c r="S92" s="524">
        <f>'Datu ievade'!R192*'Kopējie pieņēmumi'!S12</f>
        <v>256646.88</v>
      </c>
      <c r="T92" s="524">
        <f>'Datu ievade'!S192*'Kopējie pieņēmumi'!T12</f>
        <v>261993.69</v>
      </c>
      <c r="U92" s="524">
        <f>'Datu ievade'!T192*'Kopējie pieņēmumi'!U12</f>
        <v>267340.5</v>
      </c>
      <c r="V92" s="524">
        <f>'Datu ievade'!U192*'Kopējie pieņēmumi'!V12</f>
        <v>272687.31</v>
      </c>
      <c r="W92" s="524">
        <f>'Datu ievade'!V192*'Kopējie pieņēmumi'!W12</f>
        <v>278034.12</v>
      </c>
      <c r="X92" s="524">
        <f>'Datu ievade'!W192*'Kopējie pieņēmumi'!X12</f>
        <v>283380.93</v>
      </c>
      <c r="Y92" s="524">
        <f>'Datu ievade'!X192*'Kopējie pieņēmumi'!Y12</f>
        <v>288727.74</v>
      </c>
      <c r="Z92" s="524">
        <f>'Datu ievade'!Y192*'Kopējie pieņēmumi'!Z12</f>
        <v>294074.55</v>
      </c>
      <c r="AA92" s="524">
        <f>'Datu ievade'!Z192*'Kopējie pieņēmumi'!AA12</f>
        <v>299421.36</v>
      </c>
      <c r="AB92" s="524">
        <f>'Datu ievade'!AA192*'Kopējie pieņēmumi'!AB12</f>
        <v>306550.44</v>
      </c>
      <c r="AC92" s="524">
        <f>'Datu ievade'!AB192*'Kopējie pieņēmumi'!AC12</f>
        <v>313679.52</v>
      </c>
      <c r="AD92" s="524">
        <f>'Datu ievade'!AC192*'Kopējie pieņēmumi'!AD12</f>
        <v>320808.60000000003</v>
      </c>
      <c r="AE92" s="524">
        <f>'Datu ievade'!AD192*'Kopējie pieņēmumi'!AE12</f>
        <v>327937.68</v>
      </c>
      <c r="AF92" s="524">
        <f>'Datu ievade'!AE192*'Kopējie pieņēmumi'!AF12</f>
        <v>335066.76</v>
      </c>
      <c r="AG92" s="524">
        <f>'Datu ievade'!AF192*'Kopējie pieņēmumi'!AG12</f>
        <v>342195.83999999997</v>
      </c>
      <c r="AH92" s="524">
        <f>'Datu ievade'!AG192*'Kopējie pieņēmumi'!AH12</f>
        <v>349324.92</v>
      </c>
    </row>
    <row r="93" spans="1:34" x14ac:dyDescent="0.2">
      <c r="A93" s="30" t="s">
        <v>379</v>
      </c>
      <c r="B93" s="524">
        <f>'Datu ievade'!B145</f>
        <v>42934.884299999998</v>
      </c>
      <c r="C93" s="524">
        <f>C92*'Kopējie pieņēmumi'!C16</f>
        <v>44222.930828999997</v>
      </c>
      <c r="D93" s="524">
        <f>D92*'Kopējie pieņēmumi'!D16</f>
        <v>45510.977357999996</v>
      </c>
      <c r="E93" s="524">
        <f>E92*'Kopējie pieņēmumi'!E16</f>
        <v>46369.675044000003</v>
      </c>
      <c r="F93" s="524">
        <f>F92*'Kopējie pieņēmumi'!F16</f>
        <v>47228.372730000003</v>
      </c>
      <c r="G93" s="524">
        <f>G92*'Kopējie pieņēmumi'!G16</f>
        <v>48087.070416000002</v>
      </c>
      <c r="H93" s="524">
        <f>H92*'Kopējie pieņēmumi'!H16</f>
        <v>48945.768101999995</v>
      </c>
      <c r="I93" s="524">
        <f>I92*'Kopējie pieņēmumi'!I16</f>
        <v>49804.465787999994</v>
      </c>
      <c r="J93" s="524">
        <f>J92*'Kopējie pieņēmumi'!J16</f>
        <v>50663.163474000001</v>
      </c>
      <c r="K93" s="524">
        <f>K92*'Kopējie pieņēmumi'!K16</f>
        <v>51521.86116</v>
      </c>
      <c r="L93" s="524">
        <f>L92*'Kopējie pieņēmumi'!L16</f>
        <v>52809.907689</v>
      </c>
      <c r="M93" s="524">
        <f>M92*'Kopējie pieņēmumi'!M16</f>
        <v>54097.954217999999</v>
      </c>
      <c r="N93" s="524">
        <f>N92*'Kopējie pieņēmumi'!N16</f>
        <v>55386.000747000006</v>
      </c>
      <c r="O93" s="524">
        <f>O92*'Kopējie pieņēmumi'!O16</f>
        <v>56674.047276000005</v>
      </c>
      <c r="P93" s="524">
        <f>P92*'Kopējie pieņēmumi'!P16</f>
        <v>57962.093805000004</v>
      </c>
      <c r="Q93" s="524">
        <f>Q92*'Kopējie pieņēmumi'!Q16</f>
        <v>59250.140333999996</v>
      </c>
      <c r="R93" s="524">
        <f>R92*'Kopējie pieņēmumi'!R16</f>
        <v>60538.186862999995</v>
      </c>
      <c r="S93" s="524">
        <f>S92*'Kopējie pieņēmumi'!S16</f>
        <v>61826.233392000002</v>
      </c>
      <c r="T93" s="524">
        <f>T92*'Kopējie pieņēmumi'!T16</f>
        <v>63114.279921000001</v>
      </c>
      <c r="U93" s="524">
        <f>U92*'Kopējie pieņēmumi'!U16</f>
        <v>64402.32645</v>
      </c>
      <c r="V93" s="524">
        <f>V92*'Kopējie pieņēmumi'!V16</f>
        <v>65690.372979000007</v>
      </c>
      <c r="W93" s="524">
        <f>W92*'Kopējie pieņēmumi'!W16</f>
        <v>66978.419508000006</v>
      </c>
      <c r="X93" s="524">
        <f>X92*'Kopējie pieņēmumi'!X16</f>
        <v>68266.466037000006</v>
      </c>
      <c r="Y93" s="524">
        <f>Y92*'Kopējie pieņēmumi'!Y16</f>
        <v>69554.512566000005</v>
      </c>
      <c r="Z93" s="524">
        <f>Z92*'Kopējie pieņēmumi'!Z16</f>
        <v>70842.559095000004</v>
      </c>
      <c r="AA93" s="524">
        <f>AA92*'Kopējie pieņēmumi'!AA16</f>
        <v>72130.605624000003</v>
      </c>
      <c r="AB93" s="524">
        <f>AB92*'Kopējie pieņēmumi'!AB16</f>
        <v>73848.000996000002</v>
      </c>
      <c r="AC93" s="524">
        <f>AC92*'Kopējie pieņēmumi'!AC16</f>
        <v>75565.396368000002</v>
      </c>
      <c r="AD93" s="524">
        <f>AD92*'Kopējie pieņēmumi'!AD16</f>
        <v>77282.791740000015</v>
      </c>
      <c r="AE93" s="524">
        <f>AE92*'Kopējie pieņēmumi'!AE16</f>
        <v>79000.187112</v>
      </c>
      <c r="AF93" s="524">
        <f>AF92*'Kopējie pieņēmumi'!AF16</f>
        <v>80717.582483999999</v>
      </c>
      <c r="AG93" s="524">
        <f>AG92*'Kopējie pieņēmumi'!AG16</f>
        <v>82434.977855999998</v>
      </c>
      <c r="AH93" s="524">
        <f>AH92*'Kopējie pieņēmumi'!AH16</f>
        <v>84152.373227999997</v>
      </c>
    </row>
    <row r="94" spans="1:34" x14ac:dyDescent="0.2">
      <c r="A94" s="30" t="s">
        <v>597</v>
      </c>
      <c r="B94" s="524">
        <f>'Datu ievade'!B146</f>
        <v>1030</v>
      </c>
      <c r="C94" s="524">
        <f>'Datu ievade'!B194*'Kopējie pieņēmumi'!C10</f>
        <v>1060.9000000000001</v>
      </c>
      <c r="D94" s="524">
        <f>'Datu ievade'!C194*'Kopējie pieņēmumi'!D10</f>
        <v>1091.8</v>
      </c>
      <c r="E94" s="524">
        <f>'Datu ievade'!D194*'Kopējie pieņēmumi'!E10</f>
        <v>1112.4000000000001</v>
      </c>
      <c r="F94" s="524">
        <f>'Datu ievade'!E194*'Kopējie pieņēmumi'!F10</f>
        <v>1133</v>
      </c>
      <c r="G94" s="524">
        <f>'Datu ievade'!F194*'Kopējie pieņēmumi'!G10</f>
        <v>1153.6000000000001</v>
      </c>
      <c r="H94" s="524">
        <f>'Datu ievade'!G194*'Kopējie pieņēmumi'!H10</f>
        <v>1174.1999999999998</v>
      </c>
      <c r="I94" s="524">
        <f>'Datu ievade'!H194*'Kopējie pieņēmumi'!I10</f>
        <v>1194.8</v>
      </c>
      <c r="J94" s="524">
        <f>'Datu ievade'!I194*'Kopējie pieņēmumi'!J10</f>
        <v>1215.3999999999999</v>
      </c>
      <c r="K94" s="524">
        <f>'Datu ievade'!J194*'Kopējie pieņēmumi'!K10</f>
        <v>1236</v>
      </c>
      <c r="L94" s="524">
        <f>'Datu ievade'!K194*'Kopējie pieņēmumi'!L10</f>
        <v>1256.5999999999999</v>
      </c>
      <c r="M94" s="524">
        <f>'Datu ievade'!L194*'Kopējie pieņēmumi'!M10</f>
        <v>1277.2</v>
      </c>
      <c r="N94" s="524">
        <f>'Datu ievade'!M194*'Kopējie pieņēmumi'!N10</f>
        <v>1297.8</v>
      </c>
      <c r="O94" s="524">
        <f>'Datu ievade'!N194*'Kopējie pieņēmumi'!O10</f>
        <v>1328.7</v>
      </c>
      <c r="P94" s="524">
        <f>'Datu ievade'!O194*'Kopējie pieņēmumi'!P10</f>
        <v>1359.6000000000001</v>
      </c>
      <c r="Q94" s="524">
        <f>'Datu ievade'!P194*'Kopējie pieņēmumi'!Q10</f>
        <v>1390.5</v>
      </c>
      <c r="R94" s="524">
        <f>'Datu ievade'!Q194*'Kopējie pieņēmumi'!R10</f>
        <v>1421.3999999999999</v>
      </c>
      <c r="S94" s="524">
        <f>'Datu ievade'!R194*'Kopējie pieņēmumi'!S10</f>
        <v>1452.3</v>
      </c>
      <c r="T94" s="524">
        <f>'Datu ievade'!S194*'Kopējie pieņēmumi'!T10</f>
        <v>1483.2</v>
      </c>
      <c r="U94" s="524">
        <f>'Datu ievade'!T194*'Kopējie pieņēmumi'!U10</f>
        <v>1514.1</v>
      </c>
      <c r="V94" s="524">
        <f>'Datu ievade'!U194*'Kopējie pieņēmumi'!V10</f>
        <v>1545</v>
      </c>
      <c r="W94" s="524">
        <f>'Datu ievade'!V194*'Kopējie pieņēmumi'!W10</f>
        <v>1575.9</v>
      </c>
      <c r="X94" s="524">
        <f>'Datu ievade'!W194*'Kopējie pieņēmumi'!X10</f>
        <v>1606.8</v>
      </c>
      <c r="Y94" s="524">
        <f>'Datu ievade'!X194*'Kopējie pieņēmumi'!Y10</f>
        <v>1637.7</v>
      </c>
      <c r="Z94" s="524">
        <f>'Datu ievade'!Y194*'Kopējie pieņēmumi'!Z10</f>
        <v>1668.6000000000001</v>
      </c>
      <c r="AA94" s="524">
        <f>'Datu ievade'!Z194*'Kopējie pieņēmumi'!AA10</f>
        <v>1699.5</v>
      </c>
      <c r="AB94" s="524">
        <f>'Datu ievade'!AA194*'Kopējie pieņēmumi'!AB10</f>
        <v>1730.3999999999999</v>
      </c>
      <c r="AC94" s="524">
        <f>'Datu ievade'!AB194*'Kopējie pieņēmumi'!AC10</f>
        <v>1761.3</v>
      </c>
      <c r="AD94" s="524">
        <f>'Datu ievade'!AC194*'Kopējie pieņēmumi'!AD10</f>
        <v>1792.2</v>
      </c>
      <c r="AE94" s="524">
        <f>'Datu ievade'!AD194*'Kopējie pieņēmumi'!AE10</f>
        <v>1823.1</v>
      </c>
      <c r="AF94" s="524">
        <f>'Datu ievade'!AE194*'Kopējie pieņēmumi'!AF10</f>
        <v>1864.3</v>
      </c>
      <c r="AG94" s="524">
        <f>'Datu ievade'!AF194*'Kopējie pieņēmumi'!AG10</f>
        <v>1905.5</v>
      </c>
      <c r="AH94" s="524">
        <f>'Datu ievade'!AG194*'Kopējie pieņēmumi'!AH10</f>
        <v>1946.6999999999998</v>
      </c>
    </row>
    <row r="95" spans="1:34" x14ac:dyDescent="0.2">
      <c r="A95" s="523" t="s">
        <v>58</v>
      </c>
      <c r="B95" s="525">
        <f t="shared" ref="B95:AH95" si="33">SUM(B88:B94)</f>
        <v>356218.27759999997</v>
      </c>
      <c r="C95" s="525">
        <f t="shared" si="33"/>
        <v>366904.82592800003</v>
      </c>
      <c r="D95" s="525">
        <f t="shared" si="33"/>
        <v>377591.37425599998</v>
      </c>
      <c r="E95" s="525">
        <f t="shared" si="33"/>
        <v>384715.73980800004</v>
      </c>
      <c r="F95" s="525">
        <f t="shared" si="33"/>
        <v>391840.10536000005</v>
      </c>
      <c r="G95" s="525">
        <f t="shared" si="33"/>
        <v>398964.47091200005</v>
      </c>
      <c r="H95" s="525">
        <f t="shared" si="33"/>
        <v>406088.83646399999</v>
      </c>
      <c r="I95" s="525">
        <f t="shared" si="33"/>
        <v>413213.20201599994</v>
      </c>
      <c r="J95" s="525">
        <f t="shared" si="33"/>
        <v>420337.567568</v>
      </c>
      <c r="K95" s="525">
        <f t="shared" si="33"/>
        <v>427461.93311999994</v>
      </c>
      <c r="L95" s="525">
        <f t="shared" si="33"/>
        <v>438128.62144799996</v>
      </c>
      <c r="M95" s="525">
        <f t="shared" si="33"/>
        <v>448795.30977599998</v>
      </c>
      <c r="N95" s="525">
        <f t="shared" si="33"/>
        <v>459461.998104</v>
      </c>
      <c r="O95" s="525">
        <f t="shared" si="33"/>
        <v>470148.54643200006</v>
      </c>
      <c r="P95" s="525">
        <f t="shared" si="33"/>
        <v>480835.09476000007</v>
      </c>
      <c r="Q95" s="525">
        <f t="shared" si="33"/>
        <v>491521.64308800001</v>
      </c>
      <c r="R95" s="525">
        <f t="shared" si="33"/>
        <v>502208.19141599996</v>
      </c>
      <c r="S95" s="525">
        <f t="shared" si="33"/>
        <v>512894.73974400002</v>
      </c>
      <c r="T95" s="525">
        <f t="shared" si="33"/>
        <v>523581.28807200002</v>
      </c>
      <c r="U95" s="525">
        <f t="shared" si="33"/>
        <v>534267.83640000003</v>
      </c>
      <c r="V95" s="525">
        <f t="shared" si="33"/>
        <v>544954.38472800003</v>
      </c>
      <c r="W95" s="525">
        <f t="shared" si="33"/>
        <v>555640.93305600004</v>
      </c>
      <c r="X95" s="525">
        <f t="shared" si="33"/>
        <v>566327.48138400004</v>
      </c>
      <c r="Y95" s="525">
        <f t="shared" si="33"/>
        <v>577014.02971199993</v>
      </c>
      <c r="Z95" s="525">
        <f t="shared" si="33"/>
        <v>587700.57803999993</v>
      </c>
      <c r="AA95" s="525">
        <f t="shared" si="33"/>
        <v>598387.12636799994</v>
      </c>
      <c r="AB95" s="525">
        <f t="shared" si="33"/>
        <v>612615.99747200008</v>
      </c>
      <c r="AC95" s="525">
        <f t="shared" si="33"/>
        <v>626844.86857599998</v>
      </c>
      <c r="AD95" s="525">
        <f t="shared" si="33"/>
        <v>641073.73968</v>
      </c>
      <c r="AE95" s="525">
        <f t="shared" si="33"/>
        <v>655302.6107839999</v>
      </c>
      <c r="AF95" s="525">
        <f t="shared" si="33"/>
        <v>669551.34188800002</v>
      </c>
      <c r="AG95" s="525">
        <f t="shared" si="33"/>
        <v>683800.07299199991</v>
      </c>
      <c r="AH95" s="525">
        <f t="shared" si="33"/>
        <v>698048.80409600004</v>
      </c>
    </row>
    <row r="96" spans="1:34" x14ac:dyDescent="0.2">
      <c r="A96" s="523" t="s">
        <v>540</v>
      </c>
      <c r="B96" s="525">
        <f t="shared" ref="B96:AH96" si="34">SUM(B84,B95)</f>
        <v>627510.27759999991</v>
      </c>
      <c r="C96" s="525">
        <f t="shared" si="34"/>
        <v>590825.60441669496</v>
      </c>
      <c r="D96" s="525">
        <f t="shared" si="34"/>
        <v>608632.03075635876</v>
      </c>
      <c r="E96" s="525">
        <f t="shared" si="34"/>
        <v>621573.89387980173</v>
      </c>
      <c r="F96" s="525">
        <f t="shared" si="34"/>
        <v>634441.70055840933</v>
      </c>
      <c r="G96" s="525">
        <f t="shared" si="34"/>
        <v>647359.49452391546</v>
      </c>
      <c r="H96" s="525">
        <f t="shared" si="34"/>
        <v>658920.62549755664</v>
      </c>
      <c r="I96" s="525">
        <f t="shared" si="34"/>
        <v>670481.79647119797</v>
      </c>
      <c r="J96" s="525">
        <f t="shared" si="34"/>
        <v>682041.82744483929</v>
      </c>
      <c r="K96" s="525">
        <f t="shared" si="34"/>
        <v>693601.85841848073</v>
      </c>
      <c r="L96" s="525">
        <f t="shared" si="34"/>
        <v>708704.21216812194</v>
      </c>
      <c r="M96" s="525">
        <f t="shared" si="34"/>
        <v>723806.56591776339</v>
      </c>
      <c r="N96" s="525">
        <f t="shared" si="34"/>
        <v>738908.91966740473</v>
      </c>
      <c r="O96" s="525">
        <f t="shared" si="34"/>
        <v>756248.96612786688</v>
      </c>
      <c r="P96" s="525">
        <f t="shared" si="34"/>
        <v>773589.01258832891</v>
      </c>
      <c r="Q96" s="525">
        <f t="shared" si="34"/>
        <v>790929.05904879095</v>
      </c>
      <c r="R96" s="525">
        <f t="shared" si="34"/>
        <v>856569.10550925275</v>
      </c>
      <c r="S96" s="525">
        <f t="shared" si="34"/>
        <v>874959.15196971479</v>
      </c>
      <c r="T96" s="525">
        <f t="shared" si="34"/>
        <v>893349.19843017682</v>
      </c>
      <c r="U96" s="525">
        <f t="shared" si="34"/>
        <v>911739.24489063886</v>
      </c>
      <c r="V96" s="525">
        <f t="shared" si="34"/>
        <v>937629.2913511009</v>
      </c>
      <c r="W96" s="525">
        <f t="shared" si="34"/>
        <v>956169.33781156293</v>
      </c>
      <c r="X96" s="525">
        <f t="shared" si="34"/>
        <v>974709.38427202508</v>
      </c>
      <c r="Y96" s="525">
        <f t="shared" si="34"/>
        <v>993249.430732487</v>
      </c>
      <c r="Z96" s="525">
        <f t="shared" si="34"/>
        <v>1011789.477192949</v>
      </c>
      <c r="AA96" s="525">
        <f t="shared" si="34"/>
        <v>1030329.523653411</v>
      </c>
      <c r="AB96" s="525">
        <f t="shared" si="34"/>
        <v>1052411.8928898731</v>
      </c>
      <c r="AC96" s="525">
        <f t="shared" si="34"/>
        <v>1108694.2621263349</v>
      </c>
      <c r="AD96" s="525">
        <f t="shared" si="34"/>
        <v>1213156.6313627972</v>
      </c>
      <c r="AE96" s="525">
        <f t="shared" si="34"/>
        <v>1237249.000599259</v>
      </c>
      <c r="AF96" s="525">
        <f t="shared" si="34"/>
        <v>1264649.0625465419</v>
      </c>
      <c r="AG96" s="525">
        <f t="shared" si="34"/>
        <v>1292049.1244938243</v>
      </c>
      <c r="AH96" s="525">
        <f t="shared" si="34"/>
        <v>1319449.1864411072</v>
      </c>
    </row>
    <row r="97" spans="1:34" x14ac:dyDescent="0.2">
      <c r="A97" s="621"/>
      <c r="B97" s="622"/>
      <c r="C97" s="622"/>
      <c r="D97" s="622"/>
      <c r="E97" s="622"/>
      <c r="F97" s="622"/>
      <c r="G97" s="622"/>
      <c r="H97" s="622"/>
      <c r="I97" s="622"/>
      <c r="J97" s="622"/>
      <c r="K97" s="622"/>
      <c r="L97" s="622"/>
      <c r="M97" s="622"/>
      <c r="N97" s="622"/>
      <c r="O97" s="622"/>
      <c r="P97" s="622"/>
      <c r="Q97" s="622"/>
      <c r="R97" s="622"/>
      <c r="S97" s="622"/>
      <c r="T97" s="622"/>
      <c r="U97" s="622"/>
      <c r="V97" s="622"/>
      <c r="W97" s="622"/>
      <c r="X97" s="622"/>
      <c r="Y97" s="622"/>
      <c r="Z97" s="622"/>
      <c r="AA97" s="622"/>
      <c r="AB97" s="622"/>
      <c r="AC97" s="622"/>
      <c r="AD97" s="622"/>
      <c r="AE97" s="622"/>
      <c r="AF97" s="622"/>
      <c r="AG97" s="622"/>
      <c r="AH97" s="622"/>
    </row>
    <row r="98" spans="1:34" x14ac:dyDescent="0.2">
      <c r="A98" s="621" t="s">
        <v>59</v>
      </c>
      <c r="B98" s="622"/>
      <c r="C98" s="622"/>
      <c r="D98" s="622"/>
      <c r="E98" s="622"/>
      <c r="F98" s="622"/>
      <c r="G98" s="622"/>
      <c r="H98" s="622"/>
      <c r="I98" s="622"/>
      <c r="J98" s="622"/>
      <c r="K98" s="622"/>
      <c r="L98" s="622"/>
      <c r="M98" s="622"/>
      <c r="N98" s="622"/>
      <c r="O98" s="622"/>
      <c r="P98" s="622"/>
      <c r="Q98" s="622"/>
      <c r="R98" s="622"/>
      <c r="S98" s="622"/>
      <c r="T98" s="622"/>
      <c r="U98" s="622"/>
      <c r="V98" s="622"/>
      <c r="W98" s="622"/>
      <c r="X98" s="622"/>
      <c r="Y98" s="622"/>
      <c r="Z98" s="622"/>
      <c r="AA98" s="622"/>
      <c r="AB98" s="622"/>
      <c r="AC98" s="622"/>
      <c r="AD98" s="622"/>
      <c r="AE98" s="622"/>
      <c r="AF98" s="622"/>
      <c r="AG98" s="622"/>
      <c r="AH98" s="622"/>
    </row>
    <row r="99" spans="1:34" x14ac:dyDescent="0.2">
      <c r="A99" s="621" t="s">
        <v>299</v>
      </c>
      <c r="B99" s="622"/>
      <c r="C99" s="622"/>
      <c r="D99" s="622"/>
      <c r="E99" s="622"/>
      <c r="F99" s="622"/>
      <c r="G99" s="622"/>
      <c r="H99" s="622"/>
      <c r="I99" s="622"/>
      <c r="J99" s="622"/>
      <c r="K99" s="622"/>
      <c r="L99" s="622"/>
      <c r="M99" s="622"/>
      <c r="N99" s="622"/>
      <c r="O99" s="622"/>
      <c r="P99" s="622"/>
      <c r="Q99" s="622"/>
      <c r="R99" s="622"/>
      <c r="S99" s="622"/>
      <c r="T99" s="622"/>
      <c r="U99" s="622"/>
      <c r="V99" s="622"/>
      <c r="W99" s="622"/>
      <c r="X99" s="622"/>
      <c r="Y99" s="622"/>
      <c r="Z99" s="622"/>
      <c r="AA99" s="622"/>
      <c r="AB99" s="622"/>
      <c r="AC99" s="622"/>
      <c r="AD99" s="622"/>
      <c r="AE99" s="622"/>
      <c r="AF99" s="622"/>
      <c r="AG99" s="622"/>
      <c r="AH99" s="622"/>
    </row>
    <row r="100" spans="1:34" x14ac:dyDescent="0.2">
      <c r="A100" s="30" t="s">
        <v>586</v>
      </c>
      <c r="B100" s="524">
        <f>B36</f>
        <v>219525.55</v>
      </c>
      <c r="C100" s="524">
        <f t="shared" ref="C100:D102" si="35">C$130*C120</f>
        <v>219855.66360902257</v>
      </c>
      <c r="D100" s="524">
        <f t="shared" si="35"/>
        <v>223471.25843609025</v>
      </c>
      <c r="E100" s="524">
        <f t="shared" ref="E100:AH100" si="36">E$130*E120</f>
        <v>227325.07957894736</v>
      </c>
      <c r="F100" s="524">
        <f t="shared" si="36"/>
        <v>230998.72383888296</v>
      </c>
      <c r="G100" s="524">
        <f t="shared" si="36"/>
        <v>234694.53773147156</v>
      </c>
      <c r="H100" s="524">
        <f t="shared" si="36"/>
        <v>237922.16398711066</v>
      </c>
      <c r="I100" s="524">
        <f t="shared" si="36"/>
        <v>240919.24551020408</v>
      </c>
      <c r="J100" s="524">
        <f t="shared" si="36"/>
        <v>244146.87176584319</v>
      </c>
      <c r="K100" s="524">
        <f t="shared" si="36"/>
        <v>247374.49802148229</v>
      </c>
      <c r="L100" s="524">
        <f t="shared" si="36"/>
        <v>251524.30320730401</v>
      </c>
      <c r="M100" s="524">
        <f t="shared" si="36"/>
        <v>255443.56366058008</v>
      </c>
      <c r="N100" s="524">
        <f t="shared" si="36"/>
        <v>255674.1083931257</v>
      </c>
      <c r="O100" s="524">
        <f t="shared" si="36"/>
        <v>256135.197858217</v>
      </c>
      <c r="P100" s="524">
        <f t="shared" si="36"/>
        <v>260746.09250912999</v>
      </c>
      <c r="Q100" s="524">
        <f t="shared" si="36"/>
        <v>263051.5398345865</v>
      </c>
      <c r="R100" s="524">
        <f t="shared" si="36"/>
        <v>260054.45831149301</v>
      </c>
      <c r="S100" s="524">
        <f t="shared" si="36"/>
        <v>267662.43448549951</v>
      </c>
      <c r="T100" s="524">
        <f t="shared" si="36"/>
        <v>269506.7923458647</v>
      </c>
      <c r="U100" s="524">
        <f t="shared" si="36"/>
        <v>274117.68699677772</v>
      </c>
      <c r="V100" s="524">
        <f t="shared" si="36"/>
        <v>278959.12638023635</v>
      </c>
      <c r="W100" s="524">
        <f t="shared" si="36"/>
        <v>283800.56576369499</v>
      </c>
      <c r="X100" s="524">
        <f t="shared" si="36"/>
        <v>288411.46041460795</v>
      </c>
      <c r="Y100" s="524">
        <f t="shared" si="36"/>
        <v>293252.89979806665</v>
      </c>
      <c r="Z100" s="524">
        <f t="shared" si="36"/>
        <v>297863.79444897961</v>
      </c>
      <c r="AA100" s="524">
        <f t="shared" si="36"/>
        <v>302705.23383243824</v>
      </c>
      <c r="AB100" s="524">
        <f t="shared" si="36"/>
        <v>308238.30741353385</v>
      </c>
      <c r="AC100" s="524">
        <f t="shared" si="36"/>
        <v>314001.92572717514</v>
      </c>
      <c r="AD100" s="524">
        <f t="shared" si="36"/>
        <v>334520.40692373796</v>
      </c>
      <c r="AE100" s="524">
        <f t="shared" si="36"/>
        <v>340284.02523737919</v>
      </c>
      <c r="AF100" s="524">
        <f t="shared" si="36"/>
        <v>340514.56996992487</v>
      </c>
      <c r="AG100" s="524">
        <f t="shared" si="36"/>
        <v>346969.82248120301</v>
      </c>
      <c r="AH100" s="524">
        <f t="shared" si="36"/>
        <v>353425.07499248121</v>
      </c>
    </row>
    <row r="101" spans="1:34" x14ac:dyDescent="0.2">
      <c r="A101" s="30" t="s">
        <v>587</v>
      </c>
      <c r="B101" s="524">
        <f>B37</f>
        <v>25359.68</v>
      </c>
      <c r="C101" s="524">
        <f t="shared" si="35"/>
        <v>25359.68</v>
      </c>
      <c r="D101" s="524">
        <f t="shared" si="35"/>
        <v>25699.552</v>
      </c>
      <c r="E101" s="524">
        <f t="shared" ref="E101:AH101" si="37">E$130*E121</f>
        <v>25987.135999999999</v>
      </c>
      <c r="F101" s="524">
        <f t="shared" si="37"/>
        <v>26300.864000000001</v>
      </c>
      <c r="G101" s="524">
        <f t="shared" si="37"/>
        <v>26614.592000000001</v>
      </c>
      <c r="H101" s="524">
        <f t="shared" si="37"/>
        <v>26980.608</v>
      </c>
      <c r="I101" s="524">
        <f t="shared" si="37"/>
        <v>27320.48</v>
      </c>
      <c r="J101" s="524">
        <f t="shared" si="37"/>
        <v>27686.495999999999</v>
      </c>
      <c r="K101" s="524">
        <f t="shared" si="37"/>
        <v>28052.511999999999</v>
      </c>
      <c r="L101" s="524">
        <f t="shared" si="37"/>
        <v>28523.103999999999</v>
      </c>
      <c r="M101" s="524">
        <f t="shared" si="37"/>
        <v>28967.552000000003</v>
      </c>
      <c r="N101" s="524">
        <f t="shared" si="37"/>
        <v>28993.696</v>
      </c>
      <c r="O101" s="524">
        <f t="shared" si="37"/>
        <v>29045.984</v>
      </c>
      <c r="P101" s="524">
        <f t="shared" si="37"/>
        <v>29568.864000000001</v>
      </c>
      <c r="Q101" s="524">
        <f t="shared" si="37"/>
        <v>29830.304</v>
      </c>
      <c r="R101" s="524">
        <f t="shared" si="37"/>
        <v>29490.431999999997</v>
      </c>
      <c r="S101" s="524">
        <f t="shared" si="37"/>
        <v>30353.184000000001</v>
      </c>
      <c r="T101" s="524">
        <f t="shared" si="37"/>
        <v>30562.335999999999</v>
      </c>
      <c r="U101" s="524">
        <f t="shared" si="37"/>
        <v>31085.216</v>
      </c>
      <c r="V101" s="524">
        <f t="shared" si="37"/>
        <v>31634.239999999998</v>
      </c>
      <c r="W101" s="524">
        <f t="shared" si="37"/>
        <v>32183.264000000003</v>
      </c>
      <c r="X101" s="524">
        <f t="shared" si="37"/>
        <v>32706.143999999997</v>
      </c>
      <c r="Y101" s="524">
        <f t="shared" si="37"/>
        <v>33255.167999999998</v>
      </c>
      <c r="Z101" s="524">
        <f t="shared" si="37"/>
        <v>33778.048000000003</v>
      </c>
      <c r="AA101" s="524">
        <f t="shared" si="37"/>
        <v>34327.072</v>
      </c>
      <c r="AB101" s="524">
        <f t="shared" si="37"/>
        <v>34954.527999999998</v>
      </c>
      <c r="AC101" s="524">
        <f t="shared" si="37"/>
        <v>35608.128000000004</v>
      </c>
      <c r="AD101" s="524">
        <f t="shared" si="37"/>
        <v>37934.944000000003</v>
      </c>
      <c r="AE101" s="524">
        <f t="shared" si="37"/>
        <v>38588.544000000002</v>
      </c>
      <c r="AF101" s="524">
        <f t="shared" si="37"/>
        <v>38614.688000000002</v>
      </c>
      <c r="AG101" s="524">
        <f t="shared" si="37"/>
        <v>39346.719999999994</v>
      </c>
      <c r="AH101" s="524">
        <f t="shared" si="37"/>
        <v>40078.752</v>
      </c>
    </row>
    <row r="102" spans="1:34" x14ac:dyDescent="0.2">
      <c r="A102" s="30" t="s">
        <v>588</v>
      </c>
      <c r="B102" s="524">
        <f>B38</f>
        <v>88982.95</v>
      </c>
      <c r="C102" s="524">
        <f t="shared" si="35"/>
        <v>88982.95</v>
      </c>
      <c r="D102" s="524">
        <f t="shared" si="35"/>
        <v>90175.505000000005</v>
      </c>
      <c r="E102" s="524">
        <f t="shared" ref="E102:AH102" si="38">E$130*E122</f>
        <v>91184.59</v>
      </c>
      <c r="F102" s="524">
        <f t="shared" si="38"/>
        <v>92285.41</v>
      </c>
      <c r="G102" s="524">
        <f t="shared" si="38"/>
        <v>93386.23</v>
      </c>
      <c r="H102" s="524">
        <f t="shared" si="38"/>
        <v>94670.52</v>
      </c>
      <c r="I102" s="524">
        <f t="shared" si="38"/>
        <v>95863.074999999997</v>
      </c>
      <c r="J102" s="524">
        <f t="shared" si="38"/>
        <v>97147.364999999991</v>
      </c>
      <c r="K102" s="524">
        <f t="shared" si="38"/>
        <v>98431.654999999999</v>
      </c>
      <c r="L102" s="524">
        <f t="shared" si="38"/>
        <v>100082.88499999999</v>
      </c>
      <c r="M102" s="524">
        <f t="shared" si="38"/>
        <v>101642.38</v>
      </c>
      <c r="N102" s="524">
        <f t="shared" si="38"/>
        <v>101734.11500000001</v>
      </c>
      <c r="O102" s="524">
        <f t="shared" si="38"/>
        <v>101917.58499999999</v>
      </c>
      <c r="P102" s="524">
        <f t="shared" si="38"/>
        <v>103752.285</v>
      </c>
      <c r="Q102" s="524">
        <f t="shared" si="38"/>
        <v>104669.63499999999</v>
      </c>
      <c r="R102" s="524">
        <f t="shared" si="38"/>
        <v>103477.07999999999</v>
      </c>
      <c r="S102" s="524">
        <f t="shared" si="38"/>
        <v>106504.33500000001</v>
      </c>
      <c r="T102" s="524">
        <f t="shared" si="38"/>
        <v>107238.215</v>
      </c>
      <c r="U102" s="524">
        <f t="shared" si="38"/>
        <v>109072.91500000001</v>
      </c>
      <c r="V102" s="524">
        <f t="shared" si="38"/>
        <v>110999.34999999999</v>
      </c>
      <c r="W102" s="524">
        <f t="shared" si="38"/>
        <v>112925.785</v>
      </c>
      <c r="X102" s="524">
        <f t="shared" si="38"/>
        <v>114760.48499999999</v>
      </c>
      <c r="Y102" s="524">
        <f t="shared" si="38"/>
        <v>116686.92</v>
      </c>
      <c r="Z102" s="524">
        <f t="shared" si="38"/>
        <v>118521.62000000001</v>
      </c>
      <c r="AA102" s="524">
        <f t="shared" si="38"/>
        <v>120448.05499999999</v>
      </c>
      <c r="AB102" s="524">
        <f t="shared" si="38"/>
        <v>122649.69499999999</v>
      </c>
      <c r="AC102" s="524">
        <f t="shared" si="38"/>
        <v>124943.07</v>
      </c>
      <c r="AD102" s="524">
        <f t="shared" si="38"/>
        <v>133107.48500000002</v>
      </c>
      <c r="AE102" s="524">
        <f t="shared" si="38"/>
        <v>135400.85999999999</v>
      </c>
      <c r="AF102" s="524">
        <f t="shared" si="38"/>
        <v>135492.595</v>
      </c>
      <c r="AG102" s="524">
        <f t="shared" si="38"/>
        <v>138061.17499999999</v>
      </c>
      <c r="AH102" s="524">
        <f t="shared" si="38"/>
        <v>140629.755</v>
      </c>
    </row>
    <row r="103" spans="1:34" x14ac:dyDescent="0.2">
      <c r="A103" s="523" t="s">
        <v>60</v>
      </c>
      <c r="B103" s="525">
        <f>SUM(B100:B102)</f>
        <v>333868.18</v>
      </c>
      <c r="C103" s="525">
        <f t="shared" ref="C103:AG103" si="39">SUM(C100:C102)</f>
        <v>334198.29360902257</v>
      </c>
      <c r="D103" s="525">
        <f t="shared" si="39"/>
        <v>339346.31543609023</v>
      </c>
      <c r="E103" s="525">
        <f t="shared" si="39"/>
        <v>344496.80557894736</v>
      </c>
      <c r="F103" s="525">
        <f t="shared" si="39"/>
        <v>349584.99783888296</v>
      </c>
      <c r="G103" s="525">
        <f t="shared" si="39"/>
        <v>354695.35973147157</v>
      </c>
      <c r="H103" s="525">
        <f t="shared" si="39"/>
        <v>359573.29198711069</v>
      </c>
      <c r="I103" s="525">
        <f t="shared" si="39"/>
        <v>364102.80051020411</v>
      </c>
      <c r="J103" s="525">
        <f t="shared" si="39"/>
        <v>368980.73276584316</v>
      </c>
      <c r="K103" s="525">
        <f t="shared" si="39"/>
        <v>373858.66502148227</v>
      </c>
      <c r="L103" s="525">
        <f t="shared" si="39"/>
        <v>380130.29220730404</v>
      </c>
      <c r="M103" s="525">
        <f t="shared" si="39"/>
        <v>386053.49566058011</v>
      </c>
      <c r="N103" s="525">
        <f t="shared" si="39"/>
        <v>386401.91939312569</v>
      </c>
      <c r="O103" s="525">
        <f t="shared" si="39"/>
        <v>387098.76685821696</v>
      </c>
      <c r="P103" s="525">
        <f t="shared" si="39"/>
        <v>394067.24150912999</v>
      </c>
      <c r="Q103" s="525">
        <f t="shared" si="39"/>
        <v>397551.47883458651</v>
      </c>
      <c r="R103" s="525">
        <f t="shared" si="39"/>
        <v>393021.97031149303</v>
      </c>
      <c r="S103" s="525">
        <f t="shared" si="39"/>
        <v>404519.95348549954</v>
      </c>
      <c r="T103" s="525">
        <f t="shared" si="39"/>
        <v>407307.34334586468</v>
      </c>
      <c r="U103" s="525">
        <f t="shared" si="39"/>
        <v>414275.81799677771</v>
      </c>
      <c r="V103" s="525">
        <f t="shared" si="39"/>
        <v>421592.71638023632</v>
      </c>
      <c r="W103" s="525">
        <f t="shared" si="39"/>
        <v>428909.61476369505</v>
      </c>
      <c r="X103" s="525">
        <f t="shared" si="39"/>
        <v>435878.08941460791</v>
      </c>
      <c r="Y103" s="525">
        <f t="shared" si="39"/>
        <v>443194.98779806664</v>
      </c>
      <c r="Z103" s="525">
        <f t="shared" si="39"/>
        <v>450163.46244897961</v>
      </c>
      <c r="AA103" s="525">
        <f t="shared" si="39"/>
        <v>457480.36083243822</v>
      </c>
      <c r="AB103" s="525">
        <f t="shared" si="39"/>
        <v>465842.53041353385</v>
      </c>
      <c r="AC103" s="525">
        <f t="shared" si="39"/>
        <v>474553.12372717517</v>
      </c>
      <c r="AD103" s="525">
        <f t="shared" si="39"/>
        <v>505562.83592373796</v>
      </c>
      <c r="AE103" s="525">
        <f t="shared" si="39"/>
        <v>514273.42923737917</v>
      </c>
      <c r="AF103" s="525">
        <f t="shared" si="39"/>
        <v>514621.85296992492</v>
      </c>
      <c r="AG103" s="525">
        <f t="shared" si="39"/>
        <v>524377.71748120291</v>
      </c>
      <c r="AH103" s="525">
        <f>SUM(AH100:AH102)</f>
        <v>534133.58199248114</v>
      </c>
    </row>
    <row r="104" spans="1:34" x14ac:dyDescent="0.2">
      <c r="A104" s="621" t="s">
        <v>295</v>
      </c>
      <c r="B104" s="622"/>
      <c r="C104" s="622"/>
      <c r="D104" s="622"/>
      <c r="E104" s="622"/>
      <c r="F104" s="622"/>
      <c r="G104" s="622"/>
      <c r="H104" s="622"/>
      <c r="I104" s="622"/>
      <c r="J104" s="622"/>
      <c r="K104" s="622"/>
      <c r="L104" s="622"/>
      <c r="M104" s="622"/>
      <c r="N104" s="622"/>
      <c r="O104" s="622"/>
      <c r="P104" s="622"/>
      <c r="Q104" s="622"/>
      <c r="R104" s="622"/>
      <c r="S104" s="622"/>
      <c r="T104" s="622"/>
      <c r="U104" s="622"/>
      <c r="V104" s="622"/>
      <c r="W104" s="622"/>
      <c r="X104" s="622"/>
      <c r="Y104" s="622"/>
      <c r="Z104" s="622"/>
      <c r="AA104" s="622"/>
      <c r="AB104" s="622"/>
      <c r="AC104" s="622"/>
      <c r="AD104" s="622"/>
      <c r="AE104" s="622"/>
      <c r="AF104" s="622"/>
      <c r="AG104" s="622"/>
      <c r="AH104" s="622"/>
    </row>
    <row r="105" spans="1:34" x14ac:dyDescent="0.2">
      <c r="A105" s="30" t="s">
        <v>586</v>
      </c>
      <c r="B105" s="524">
        <f>B41</f>
        <v>342547.5</v>
      </c>
      <c r="C105" s="524">
        <f t="shared" ref="C105:D107" si="40">C139*C$149</f>
        <v>345102.60232380225</v>
      </c>
      <c r="D105" s="524">
        <f t="shared" si="40"/>
        <v>404802.89569666248</v>
      </c>
      <c r="E105" s="524">
        <f t="shared" ref="E105:AH105" si="41">E139*E$149</f>
        <v>424826.42458448885</v>
      </c>
      <c r="F105" s="524">
        <f t="shared" si="41"/>
        <v>433662.09945108544</v>
      </c>
      <c r="G105" s="524">
        <f t="shared" si="41"/>
        <v>442515.81290331826</v>
      </c>
      <c r="H105" s="524">
        <f t="shared" si="41"/>
        <v>447730.6457153103</v>
      </c>
      <c r="I105" s="524">
        <f t="shared" si="41"/>
        <v>453193.80389930191</v>
      </c>
      <c r="J105" s="524">
        <f t="shared" si="41"/>
        <v>461140.21580328967</v>
      </c>
      <c r="K105" s="524">
        <f t="shared" si="41"/>
        <v>466603.37398728123</v>
      </c>
      <c r="L105" s="524">
        <f t="shared" si="41"/>
        <v>473556.48440327053</v>
      </c>
      <c r="M105" s="524">
        <f t="shared" si="41"/>
        <v>480509.59481925977</v>
      </c>
      <c r="N105" s="524">
        <f t="shared" si="41"/>
        <v>486966.05449124979</v>
      </c>
      <c r="O105" s="524">
        <f t="shared" si="41"/>
        <v>482744.52316725627</v>
      </c>
      <c r="P105" s="524">
        <f t="shared" si="41"/>
        <v>490690.93507124402</v>
      </c>
      <c r="Q105" s="524">
        <f t="shared" si="41"/>
        <v>500623.9499512288</v>
      </c>
      <c r="R105" s="524">
        <f t="shared" si="41"/>
        <v>484979.45151525293</v>
      </c>
      <c r="S105" s="524">
        <f t="shared" si="41"/>
        <v>480012.94407526054</v>
      </c>
      <c r="T105" s="524">
        <f t="shared" si="41"/>
        <v>488704.33209524717</v>
      </c>
      <c r="U105" s="524">
        <f t="shared" si="41"/>
        <v>497644.04548723338</v>
      </c>
      <c r="V105" s="524">
        <f t="shared" si="41"/>
        <v>512046.91706321115</v>
      </c>
      <c r="W105" s="524">
        <f t="shared" si="41"/>
        <v>520986.63045519742</v>
      </c>
      <c r="X105" s="524">
        <f t="shared" si="41"/>
        <v>531912.94682318054</v>
      </c>
      <c r="Y105" s="524">
        <f t="shared" si="41"/>
        <v>540852.66021516686</v>
      </c>
      <c r="Z105" s="524">
        <f t="shared" si="41"/>
        <v>549792.37360715307</v>
      </c>
      <c r="AA105" s="524">
        <f t="shared" si="41"/>
        <v>558732.08699913928</v>
      </c>
      <c r="AB105" s="524">
        <f t="shared" si="41"/>
        <v>569410.07799512288</v>
      </c>
      <c r="AC105" s="524">
        <f t="shared" si="41"/>
        <v>605913.90767906664</v>
      </c>
      <c r="AD105" s="524">
        <f t="shared" si="41"/>
        <v>669733.52828296833</v>
      </c>
      <c r="AE105" s="524">
        <f t="shared" si="41"/>
        <v>681653.14613895002</v>
      </c>
      <c r="AF105" s="524">
        <f t="shared" si="41"/>
        <v>695559.3669709285</v>
      </c>
      <c r="AG105" s="524">
        <f t="shared" si="41"/>
        <v>709217.26243090746</v>
      </c>
      <c r="AH105" s="524">
        <f t="shared" si="41"/>
        <v>722875.15789088642</v>
      </c>
    </row>
    <row r="106" spans="1:34" x14ac:dyDescent="0.2">
      <c r="A106" s="30" t="s">
        <v>587</v>
      </c>
      <c r="B106" s="524">
        <f>B42</f>
        <v>37776</v>
      </c>
      <c r="C106" s="524">
        <f t="shared" si="40"/>
        <v>37776</v>
      </c>
      <c r="D106" s="524">
        <f t="shared" si="40"/>
        <v>43820.159999999996</v>
      </c>
      <c r="E106" s="524">
        <f t="shared" ref="E106:AH106" si="42">E140*E$149</f>
        <v>44978.624000000003</v>
      </c>
      <c r="F106" s="524">
        <f t="shared" si="42"/>
        <v>44928.256000000008</v>
      </c>
      <c r="G106" s="524">
        <f t="shared" si="42"/>
        <v>44877.887999999992</v>
      </c>
      <c r="H106" s="524">
        <f t="shared" si="42"/>
        <v>45406.752</v>
      </c>
      <c r="I106" s="524">
        <f t="shared" si="42"/>
        <v>45960.800000000003</v>
      </c>
      <c r="J106" s="524">
        <f t="shared" si="42"/>
        <v>46766.688000000002</v>
      </c>
      <c r="K106" s="524">
        <f t="shared" si="42"/>
        <v>47320.735999999997</v>
      </c>
      <c r="L106" s="524">
        <f t="shared" si="42"/>
        <v>48025.887999999999</v>
      </c>
      <c r="M106" s="524">
        <f t="shared" si="42"/>
        <v>48731.039999999994</v>
      </c>
      <c r="N106" s="524">
        <f t="shared" si="42"/>
        <v>49385.823999999993</v>
      </c>
      <c r="O106" s="524">
        <f t="shared" si="42"/>
        <v>48957.695999999996</v>
      </c>
      <c r="P106" s="524">
        <f t="shared" si="42"/>
        <v>49763.583999999995</v>
      </c>
      <c r="Q106" s="524">
        <f t="shared" si="42"/>
        <v>50770.944000000003</v>
      </c>
      <c r="R106" s="524">
        <f t="shared" si="42"/>
        <v>49184.351999999999</v>
      </c>
      <c r="S106" s="524">
        <f t="shared" si="42"/>
        <v>48680.671999999999</v>
      </c>
      <c r="T106" s="524">
        <f t="shared" si="42"/>
        <v>49562.112000000001</v>
      </c>
      <c r="U106" s="524">
        <f t="shared" si="42"/>
        <v>50468.735999999997</v>
      </c>
      <c r="V106" s="524">
        <f t="shared" si="42"/>
        <v>51929.407999999996</v>
      </c>
      <c r="W106" s="524">
        <f t="shared" si="42"/>
        <v>52836.031999999999</v>
      </c>
      <c r="X106" s="524">
        <f t="shared" si="42"/>
        <v>53944.127999999997</v>
      </c>
      <c r="Y106" s="524">
        <f t="shared" si="42"/>
        <v>54850.752</v>
      </c>
      <c r="Z106" s="524">
        <f t="shared" si="42"/>
        <v>55757.375999999997</v>
      </c>
      <c r="AA106" s="524">
        <f t="shared" si="42"/>
        <v>56664</v>
      </c>
      <c r="AB106" s="524">
        <f t="shared" si="42"/>
        <v>57746.912000000004</v>
      </c>
      <c r="AC106" s="524">
        <f t="shared" si="42"/>
        <v>61448.959999999999</v>
      </c>
      <c r="AD106" s="524">
        <f t="shared" si="42"/>
        <v>67921.248000000007</v>
      </c>
      <c r="AE106" s="524">
        <f t="shared" si="42"/>
        <v>69130.080000000002</v>
      </c>
      <c r="AF106" s="524">
        <f t="shared" si="42"/>
        <v>70540.384000000005</v>
      </c>
      <c r="AG106" s="524">
        <f t="shared" si="42"/>
        <v>71925.504000000001</v>
      </c>
      <c r="AH106" s="524">
        <f t="shared" si="42"/>
        <v>73310.623999999996</v>
      </c>
    </row>
    <row r="107" spans="1:34" x14ac:dyDescent="0.2">
      <c r="A107" s="30" t="s">
        <v>588</v>
      </c>
      <c r="B107" s="524">
        <f>B43</f>
        <v>110014.5</v>
      </c>
      <c r="C107" s="524">
        <f t="shared" si="40"/>
        <v>110014.5</v>
      </c>
      <c r="D107" s="524">
        <f t="shared" si="40"/>
        <v>127616.81999999999</v>
      </c>
      <c r="E107" s="524">
        <f t="shared" ref="E107:AH107" si="43">E141*E$149</f>
        <v>130990.598</v>
      </c>
      <c r="F107" s="524">
        <f t="shared" si="43"/>
        <v>130843.91200000003</v>
      </c>
      <c r="G107" s="524">
        <f t="shared" si="43"/>
        <v>130697.22599999998</v>
      </c>
      <c r="H107" s="524">
        <f t="shared" si="43"/>
        <v>132237.429</v>
      </c>
      <c r="I107" s="524">
        <f t="shared" si="43"/>
        <v>133850.97500000001</v>
      </c>
      <c r="J107" s="524">
        <f t="shared" si="43"/>
        <v>136197.951</v>
      </c>
      <c r="K107" s="524">
        <f t="shared" si="43"/>
        <v>137811.497</v>
      </c>
      <c r="L107" s="524">
        <f t="shared" si="43"/>
        <v>139865.101</v>
      </c>
      <c r="M107" s="524">
        <f t="shared" si="43"/>
        <v>141918.70499999999</v>
      </c>
      <c r="N107" s="524">
        <f t="shared" si="43"/>
        <v>143825.62299999999</v>
      </c>
      <c r="O107" s="524">
        <f t="shared" si="43"/>
        <v>142578.79199999999</v>
      </c>
      <c r="P107" s="524">
        <f t="shared" si="43"/>
        <v>144925.76799999998</v>
      </c>
      <c r="Q107" s="524">
        <f t="shared" si="43"/>
        <v>147859.48800000001</v>
      </c>
      <c r="R107" s="524">
        <f t="shared" si="43"/>
        <v>143238.87900000002</v>
      </c>
      <c r="S107" s="524">
        <f t="shared" si="43"/>
        <v>141772.019</v>
      </c>
      <c r="T107" s="524">
        <f t="shared" si="43"/>
        <v>144339.024</v>
      </c>
      <c r="U107" s="524">
        <f t="shared" si="43"/>
        <v>146979.372</v>
      </c>
      <c r="V107" s="524">
        <f t="shared" si="43"/>
        <v>151233.26599999997</v>
      </c>
      <c r="W107" s="524">
        <f t="shared" si="43"/>
        <v>153873.614</v>
      </c>
      <c r="X107" s="524">
        <f t="shared" si="43"/>
        <v>157100.70600000001</v>
      </c>
      <c r="Y107" s="524">
        <f t="shared" si="43"/>
        <v>159741.054</v>
      </c>
      <c r="Z107" s="524">
        <f t="shared" si="43"/>
        <v>162381.402</v>
      </c>
      <c r="AA107" s="524">
        <f t="shared" si="43"/>
        <v>165021.75</v>
      </c>
      <c r="AB107" s="524">
        <f t="shared" si="43"/>
        <v>168175.49900000001</v>
      </c>
      <c r="AC107" s="524">
        <f t="shared" si="43"/>
        <v>178956.91999999998</v>
      </c>
      <c r="AD107" s="524">
        <f t="shared" si="43"/>
        <v>197806.071</v>
      </c>
      <c r="AE107" s="524">
        <f t="shared" si="43"/>
        <v>201326.535</v>
      </c>
      <c r="AF107" s="524">
        <f t="shared" si="43"/>
        <v>205433.74300000002</v>
      </c>
      <c r="AG107" s="524">
        <f t="shared" si="43"/>
        <v>209467.60799999998</v>
      </c>
      <c r="AH107" s="524">
        <f t="shared" si="43"/>
        <v>213501.473</v>
      </c>
    </row>
    <row r="108" spans="1:34" x14ac:dyDescent="0.2">
      <c r="A108" s="523" t="s">
        <v>61</v>
      </c>
      <c r="B108" s="525">
        <f>SUM(B105:B107)</f>
        <v>490338</v>
      </c>
      <c r="C108" s="525">
        <f t="shared" ref="C108:AG108" si="44">SUM(C105:C107)</f>
        <v>492893.10232380225</v>
      </c>
      <c r="D108" s="525">
        <f t="shared" si="44"/>
        <v>576239.87569666246</v>
      </c>
      <c r="E108" s="525">
        <f t="shared" si="44"/>
        <v>600795.64658448892</v>
      </c>
      <c r="F108" s="525">
        <f t="shared" si="44"/>
        <v>609434.2674510855</v>
      </c>
      <c r="G108" s="525">
        <f t="shared" si="44"/>
        <v>618090.92690331826</v>
      </c>
      <c r="H108" s="525">
        <f t="shared" si="44"/>
        <v>625374.82671531034</v>
      </c>
      <c r="I108" s="525">
        <f t="shared" si="44"/>
        <v>633005.57889930194</v>
      </c>
      <c r="J108" s="525">
        <f t="shared" si="44"/>
        <v>644104.85480328975</v>
      </c>
      <c r="K108" s="525">
        <f t="shared" si="44"/>
        <v>651735.60698728124</v>
      </c>
      <c r="L108" s="525">
        <f t="shared" si="44"/>
        <v>661447.47340327047</v>
      </c>
      <c r="M108" s="525">
        <f t="shared" si="44"/>
        <v>671159.33981925971</v>
      </c>
      <c r="N108" s="525">
        <f t="shared" si="44"/>
        <v>680177.50149124977</v>
      </c>
      <c r="O108" s="525">
        <f t="shared" si="44"/>
        <v>674281.01116725628</v>
      </c>
      <c r="P108" s="525">
        <f t="shared" si="44"/>
        <v>685380.28707124409</v>
      </c>
      <c r="Q108" s="525">
        <f t="shared" si="44"/>
        <v>699254.38195122883</v>
      </c>
      <c r="R108" s="525">
        <f t="shared" si="44"/>
        <v>677402.68251525285</v>
      </c>
      <c r="S108" s="525">
        <f t="shared" si="44"/>
        <v>670465.63507526054</v>
      </c>
      <c r="T108" s="525">
        <f t="shared" si="44"/>
        <v>682605.46809524717</v>
      </c>
      <c r="U108" s="525">
        <f t="shared" si="44"/>
        <v>695092.15348723333</v>
      </c>
      <c r="V108" s="525">
        <f t="shared" si="44"/>
        <v>715209.59106321109</v>
      </c>
      <c r="W108" s="525">
        <f t="shared" si="44"/>
        <v>727696.27645519748</v>
      </c>
      <c r="X108" s="525">
        <f t="shared" si="44"/>
        <v>742957.78082318057</v>
      </c>
      <c r="Y108" s="525">
        <f t="shared" si="44"/>
        <v>755444.46621516685</v>
      </c>
      <c r="Z108" s="525">
        <f t="shared" si="44"/>
        <v>767931.15160715312</v>
      </c>
      <c r="AA108" s="525">
        <f t="shared" si="44"/>
        <v>780417.83699913928</v>
      </c>
      <c r="AB108" s="525">
        <f t="shared" si="44"/>
        <v>795332.48899512296</v>
      </c>
      <c r="AC108" s="525">
        <f t="shared" si="44"/>
        <v>846319.78767906665</v>
      </c>
      <c r="AD108" s="525">
        <f t="shared" si="44"/>
        <v>935460.84728296835</v>
      </c>
      <c r="AE108" s="525">
        <f t="shared" si="44"/>
        <v>952109.76113895001</v>
      </c>
      <c r="AF108" s="525">
        <f t="shared" si="44"/>
        <v>971533.49397092848</v>
      </c>
      <c r="AG108" s="525">
        <f t="shared" si="44"/>
        <v>990610.37443090742</v>
      </c>
      <c r="AH108" s="525">
        <f>SUM(AH105:AH107)</f>
        <v>1009687.2548908864</v>
      </c>
    </row>
    <row r="109" spans="1:34" x14ac:dyDescent="0.2">
      <c r="A109" s="523" t="s">
        <v>538</v>
      </c>
      <c r="B109" s="525">
        <f>B108+B103</f>
        <v>824206.17999999993</v>
      </c>
      <c r="C109" s="525">
        <f t="shared" ref="C109:AG109" si="45">C108+C103</f>
        <v>827091.39593282482</v>
      </c>
      <c r="D109" s="525">
        <f t="shared" si="45"/>
        <v>915586.19113275269</v>
      </c>
      <c r="E109" s="525">
        <f t="shared" si="45"/>
        <v>945292.45216343622</v>
      </c>
      <c r="F109" s="525">
        <f t="shared" si="45"/>
        <v>959019.26528996846</v>
      </c>
      <c r="G109" s="525">
        <f t="shared" si="45"/>
        <v>972786.28663478978</v>
      </c>
      <c r="H109" s="525">
        <f t="shared" si="45"/>
        <v>984948.11870242096</v>
      </c>
      <c r="I109" s="525">
        <f t="shared" si="45"/>
        <v>997108.37940950599</v>
      </c>
      <c r="J109" s="525">
        <f t="shared" si="45"/>
        <v>1013085.5875691329</v>
      </c>
      <c r="K109" s="525">
        <f t="shared" si="45"/>
        <v>1025594.2720087635</v>
      </c>
      <c r="L109" s="525">
        <f t="shared" si="45"/>
        <v>1041577.7656105745</v>
      </c>
      <c r="M109" s="525">
        <f t="shared" si="45"/>
        <v>1057212.8354798397</v>
      </c>
      <c r="N109" s="525">
        <f t="shared" si="45"/>
        <v>1066579.4208843755</v>
      </c>
      <c r="O109" s="525">
        <f t="shared" si="45"/>
        <v>1061379.7780254732</v>
      </c>
      <c r="P109" s="525">
        <f t="shared" si="45"/>
        <v>1079447.5285803741</v>
      </c>
      <c r="Q109" s="525">
        <f t="shared" si="45"/>
        <v>1096805.8607858154</v>
      </c>
      <c r="R109" s="525">
        <f t="shared" si="45"/>
        <v>1070424.652826746</v>
      </c>
      <c r="S109" s="525">
        <f t="shared" si="45"/>
        <v>1074985.58856076</v>
      </c>
      <c r="T109" s="525">
        <f t="shared" si="45"/>
        <v>1089912.8114411118</v>
      </c>
      <c r="U109" s="525">
        <f t="shared" si="45"/>
        <v>1109367.971484011</v>
      </c>
      <c r="V109" s="525">
        <f t="shared" si="45"/>
        <v>1136802.3074434474</v>
      </c>
      <c r="W109" s="525">
        <f t="shared" si="45"/>
        <v>1156605.8912188925</v>
      </c>
      <c r="X109" s="525">
        <f t="shared" si="45"/>
        <v>1178835.8702377884</v>
      </c>
      <c r="Y109" s="525">
        <f t="shared" si="45"/>
        <v>1198639.4540132335</v>
      </c>
      <c r="Z109" s="525">
        <f t="shared" si="45"/>
        <v>1218094.6140561327</v>
      </c>
      <c r="AA109" s="525">
        <f t="shared" si="45"/>
        <v>1237898.1978315776</v>
      </c>
      <c r="AB109" s="525">
        <f t="shared" si="45"/>
        <v>1261175.0194086567</v>
      </c>
      <c r="AC109" s="525">
        <f t="shared" si="45"/>
        <v>1320872.9114062418</v>
      </c>
      <c r="AD109" s="525">
        <f t="shared" si="45"/>
        <v>1441023.6832067063</v>
      </c>
      <c r="AE109" s="525">
        <f t="shared" si="45"/>
        <v>1466383.1903763292</v>
      </c>
      <c r="AF109" s="525">
        <f t="shared" si="45"/>
        <v>1486155.3469408534</v>
      </c>
      <c r="AG109" s="525">
        <f t="shared" si="45"/>
        <v>1514988.0919121103</v>
      </c>
      <c r="AH109" s="525">
        <f>AH108+AH103</f>
        <v>1543820.8368833675</v>
      </c>
    </row>
    <row r="110" spans="1:34" x14ac:dyDescent="0.2">
      <c r="A110" s="523" t="s">
        <v>598</v>
      </c>
      <c r="B110" s="525">
        <f>B109-B96</f>
        <v>196695.90240000002</v>
      </c>
      <c r="C110" s="525">
        <f t="shared" ref="C110:AG110" si="46">C109-C96</f>
        <v>236265.79151612986</v>
      </c>
      <c r="D110" s="525">
        <f t="shared" si="46"/>
        <v>306954.16037639393</v>
      </c>
      <c r="E110" s="525">
        <f t="shared" si="46"/>
        <v>323718.55828363448</v>
      </c>
      <c r="F110" s="525">
        <f t="shared" si="46"/>
        <v>324577.56473155913</v>
      </c>
      <c r="G110" s="525">
        <f t="shared" si="46"/>
        <v>325426.79211087432</v>
      </c>
      <c r="H110" s="525">
        <f t="shared" si="46"/>
        <v>326027.49320486432</v>
      </c>
      <c r="I110" s="525">
        <f t="shared" si="46"/>
        <v>326626.58293830801</v>
      </c>
      <c r="J110" s="525">
        <f t="shared" si="46"/>
        <v>331043.76012429362</v>
      </c>
      <c r="K110" s="525">
        <f t="shared" si="46"/>
        <v>331992.41359028278</v>
      </c>
      <c r="L110" s="525">
        <f t="shared" si="46"/>
        <v>332873.55344245257</v>
      </c>
      <c r="M110" s="525">
        <f t="shared" si="46"/>
        <v>333406.26956207631</v>
      </c>
      <c r="N110" s="525">
        <f t="shared" si="46"/>
        <v>327670.50121697073</v>
      </c>
      <c r="O110" s="525">
        <f t="shared" si="46"/>
        <v>305130.81189760636</v>
      </c>
      <c r="P110" s="525">
        <f t="shared" si="46"/>
        <v>305858.51599204517</v>
      </c>
      <c r="Q110" s="525">
        <f t="shared" si="46"/>
        <v>305876.80173702445</v>
      </c>
      <c r="R110" s="525">
        <f t="shared" si="46"/>
        <v>213855.54731749324</v>
      </c>
      <c r="S110" s="525">
        <f t="shared" si="46"/>
        <v>200026.43659104523</v>
      </c>
      <c r="T110" s="525">
        <f t="shared" si="46"/>
        <v>196563.61301093502</v>
      </c>
      <c r="U110" s="525">
        <f t="shared" si="46"/>
        <v>197628.72659337218</v>
      </c>
      <c r="V110" s="525">
        <f t="shared" si="46"/>
        <v>199173.01609234652</v>
      </c>
      <c r="W110" s="525">
        <f t="shared" si="46"/>
        <v>200436.5534073296</v>
      </c>
      <c r="X110" s="525">
        <f t="shared" si="46"/>
        <v>204126.48596576334</v>
      </c>
      <c r="Y110" s="525">
        <f t="shared" si="46"/>
        <v>205390.02328074654</v>
      </c>
      <c r="Z110" s="525">
        <f t="shared" si="46"/>
        <v>206305.1368631837</v>
      </c>
      <c r="AA110" s="525">
        <f t="shared" si="46"/>
        <v>207568.67417816666</v>
      </c>
      <c r="AB110" s="525">
        <f t="shared" si="46"/>
        <v>208763.12651878363</v>
      </c>
      <c r="AC110" s="525">
        <f t="shared" si="46"/>
        <v>212178.64927990688</v>
      </c>
      <c r="AD110" s="525">
        <f t="shared" si="46"/>
        <v>227867.05184390908</v>
      </c>
      <c r="AE110" s="525">
        <f t="shared" si="46"/>
        <v>229134.18977707019</v>
      </c>
      <c r="AF110" s="525">
        <f t="shared" si="46"/>
        <v>221506.28439431149</v>
      </c>
      <c r="AG110" s="525">
        <f t="shared" si="46"/>
        <v>222938.96741828602</v>
      </c>
      <c r="AH110" s="525">
        <f>AH109-AH96</f>
        <v>224371.65044226032</v>
      </c>
    </row>
    <row r="112" spans="1:34" ht="15" x14ac:dyDescent="0.2">
      <c r="A112" s="428" t="s">
        <v>62</v>
      </c>
    </row>
    <row r="113" spans="1:34" x14ac:dyDescent="0.2">
      <c r="A113" s="288" t="s">
        <v>299</v>
      </c>
    </row>
    <row r="114" spans="1:34" outlineLevel="1" x14ac:dyDescent="0.2">
      <c r="A114" s="28" t="s">
        <v>81</v>
      </c>
      <c r="B114" s="110">
        <f t="shared" ref="B114:R114" si="47">SUM(B73:B77,B88:B90)</f>
        <v>231075.3933</v>
      </c>
      <c r="C114" s="110">
        <f t="shared" si="47"/>
        <v>230591.56566395913</v>
      </c>
      <c r="D114" s="110">
        <f t="shared" si="47"/>
        <v>237495.60547570337</v>
      </c>
      <c r="E114" s="110">
        <f t="shared" si="47"/>
        <v>242358.91779731255</v>
      </c>
      <c r="F114" s="110">
        <f t="shared" si="47"/>
        <v>247111.3217856081</v>
      </c>
      <c r="G114" s="110">
        <f t="shared" si="47"/>
        <v>251873.33580593774</v>
      </c>
      <c r="H114" s="110">
        <f t="shared" si="47"/>
        <v>256371.07394532941</v>
      </c>
      <c r="I114" s="110">
        <f t="shared" si="47"/>
        <v>260868.81208472117</v>
      </c>
      <c r="J114" s="110">
        <f t="shared" si="47"/>
        <v>265366.55022411293</v>
      </c>
      <c r="K114" s="110">
        <f t="shared" si="47"/>
        <v>269864.28836350463</v>
      </c>
      <c r="L114" s="110">
        <f t="shared" si="47"/>
        <v>275692.73043589643</v>
      </c>
      <c r="M114" s="110">
        <f t="shared" si="47"/>
        <v>281521.17250828817</v>
      </c>
      <c r="N114" s="110">
        <f t="shared" si="47"/>
        <v>287349.61458067992</v>
      </c>
      <c r="O114" s="110">
        <f t="shared" si="47"/>
        <v>294096.2217897675</v>
      </c>
      <c r="P114" s="110">
        <f t="shared" si="47"/>
        <v>300842.82899885514</v>
      </c>
      <c r="Q114" s="110">
        <f t="shared" si="47"/>
        <v>307589.43620794278</v>
      </c>
      <c r="R114" s="110">
        <f t="shared" si="47"/>
        <v>314336.04341703036</v>
      </c>
      <c r="S114" s="110">
        <f>SUM(S73:S77,S88:S90)+4000</f>
        <v>325082.650626118</v>
      </c>
      <c r="T114" s="110">
        <f t="shared" ref="T114:AC114" si="48">SUM(T73:T77,T88:T90)</f>
        <v>327829.25783520559</v>
      </c>
      <c r="U114" s="110">
        <f t="shared" si="48"/>
        <v>334575.86504429323</v>
      </c>
      <c r="V114" s="110">
        <f t="shared" si="48"/>
        <v>341322.47225338087</v>
      </c>
      <c r="W114" s="110">
        <f t="shared" si="48"/>
        <v>348069.07946246845</v>
      </c>
      <c r="X114" s="110">
        <f t="shared" si="48"/>
        <v>354815.68667155609</v>
      </c>
      <c r="Y114" s="110">
        <f t="shared" si="48"/>
        <v>361562.29388064373</v>
      </c>
      <c r="Z114" s="110">
        <f t="shared" si="48"/>
        <v>368308.90108973125</v>
      </c>
      <c r="AA114" s="110">
        <f t="shared" si="48"/>
        <v>375055.5082988189</v>
      </c>
      <c r="AB114" s="110">
        <f t="shared" si="48"/>
        <v>383132.81944090658</v>
      </c>
      <c r="AC114" s="110">
        <f t="shared" si="48"/>
        <v>391210.13058299414</v>
      </c>
      <c r="AD114" s="110">
        <f>SUM(AD73:AD77,AD88:AD90)+9000</f>
        <v>420467.44172508182</v>
      </c>
      <c r="AE114" s="110">
        <f>SUM(AE73:AE77,AE88:AE90)+9000</f>
        <v>428754.75286716939</v>
      </c>
      <c r="AF114" s="110">
        <f>SUM(AF73:AF77,AF88:AF90)</f>
        <v>429030.22914595285</v>
      </c>
      <c r="AG114" s="110">
        <f>SUM(AG73:AG77,AG88:AG90)</f>
        <v>438305.70542473631</v>
      </c>
      <c r="AH114" s="110">
        <f>SUM(AH73:AH77,AH88:AH90)</f>
        <v>447581.18170351989</v>
      </c>
    </row>
    <row r="115" spans="1:34" outlineLevel="1" x14ac:dyDescent="0.2">
      <c r="A115" s="28" t="s">
        <v>82</v>
      </c>
      <c r="B115" s="110">
        <f>SUM(Aprēķini!B20:B23)</f>
        <v>81717</v>
      </c>
      <c r="C115" s="110">
        <f>SUM(Aprēķini!C20:C23)</f>
        <v>81717</v>
      </c>
      <c r="D115" s="110">
        <f>SUM(Aprēķini!D20:D23)</f>
        <v>81717</v>
      </c>
      <c r="E115" s="110">
        <f>SUM(Aprēķini!E20:E23)</f>
        <v>81717</v>
      </c>
      <c r="F115" s="110">
        <f>SUM(Aprēķini!F20:F23)</f>
        <v>81717</v>
      </c>
      <c r="G115" s="110">
        <f>SUM(Aprēķini!G20:G23)</f>
        <v>81717</v>
      </c>
      <c r="H115" s="110">
        <f>SUM(Aprēķini!H20:H23)</f>
        <v>81717</v>
      </c>
      <c r="I115" s="110">
        <f>SUM(Aprēķini!I20:I23)</f>
        <v>81717</v>
      </c>
      <c r="J115" s="110">
        <f>SUM(Aprēķini!J20:J23)</f>
        <v>81717</v>
      </c>
      <c r="K115" s="110">
        <f>SUM(Aprēķini!K20:K23)</f>
        <v>81717</v>
      </c>
      <c r="L115" s="110">
        <f>SUM(Aprēķini!L20:L23)</f>
        <v>81717</v>
      </c>
      <c r="M115" s="110">
        <f>SUM(Aprēķini!M20:M23)</f>
        <v>81717</v>
      </c>
      <c r="N115" s="110">
        <f>SUM(Aprēķini!N20:N23)</f>
        <v>76453</v>
      </c>
      <c r="O115" s="110">
        <f>SUM(Aprēķini!O20:O23)</f>
        <v>70217</v>
      </c>
      <c r="P115" s="110">
        <f>SUM(Aprēķini!P20:P23)</f>
        <v>70100</v>
      </c>
      <c r="Q115" s="110">
        <f>SUM(Aprēķini!Q20:Q23)</f>
        <v>66726</v>
      </c>
      <c r="R115" s="110">
        <f>SUM(Aprēķini!R20:R23)</f>
        <v>55653</v>
      </c>
      <c r="S115" s="110">
        <f>SUM(Aprēķini!S20:S23)</f>
        <v>55653</v>
      </c>
      <c r="T115" s="110">
        <f>SUM(Aprēķini!T20:T23)</f>
        <v>55653</v>
      </c>
      <c r="U115" s="110">
        <f>SUM(Aprēķini!U20:U23)</f>
        <v>55653</v>
      </c>
      <c r="V115" s="110">
        <f>SUM(Aprēķini!V20:V23)</f>
        <v>55653</v>
      </c>
      <c r="W115" s="110">
        <f>SUM(Aprēķini!W20:W23)</f>
        <v>55653</v>
      </c>
      <c r="X115" s="110">
        <f>SUM(Aprēķini!X20:X23)</f>
        <v>55653</v>
      </c>
      <c r="Y115" s="110">
        <f>SUM(Aprēķini!Y20:Y23)</f>
        <v>55653</v>
      </c>
      <c r="Z115" s="110">
        <f>SUM(Aprēķini!Z20:Z23)</f>
        <v>55653</v>
      </c>
      <c r="AA115" s="110">
        <f>SUM(Aprēķini!AA20:AA23)</f>
        <v>55653</v>
      </c>
      <c r="AB115" s="110">
        <f>SUM(Aprēķini!AB20:AB23)</f>
        <v>55653</v>
      </c>
      <c r="AC115" s="110">
        <f>SUM(Aprēķini!AC20:AC23)</f>
        <v>55653</v>
      </c>
      <c r="AD115" s="110">
        <f>SUM(Aprēķini!AD20:AD23)</f>
        <v>55653</v>
      </c>
      <c r="AE115" s="110">
        <f>SUM(Aprēķini!AE20:AE23)</f>
        <v>55653</v>
      </c>
      <c r="AF115" s="110">
        <f>SUM(Aprēķini!AF20:AF23)</f>
        <v>55653</v>
      </c>
      <c r="AG115" s="110">
        <f>SUM(Aprēķini!AG20:AG23)</f>
        <v>55653</v>
      </c>
      <c r="AH115" s="110">
        <f>SUM(Aprēķini!AH20:AH23)</f>
        <v>55653</v>
      </c>
    </row>
    <row r="116" spans="1:34" outlineLevel="1" x14ac:dyDescent="0.2">
      <c r="A116" s="28" t="s">
        <v>83</v>
      </c>
      <c r="B116" s="110">
        <v>0</v>
      </c>
      <c r="C116" s="110">
        <f>SUM(Aprēķini!C37,Aprēķini!C43,Aprēķini!C49)*'Datu ievade'!B210</f>
        <v>0</v>
      </c>
      <c r="D116" s="110">
        <f>SUM(Aprēķini!D37,Aprēķini!D43,Aprēķini!D49)*'Datu ievade'!C210</f>
        <v>979.99115222248713</v>
      </c>
      <c r="E116" s="110">
        <f>SUM(Aprēķini!E37,Aprēķini!E43,Aprēķini!E49)*'Datu ievade'!D210</f>
        <v>979.99115222248713</v>
      </c>
      <c r="F116" s="110">
        <f>SUM(Aprēķini!F37,Aprēķini!F43,Aprēķini!F49)*'Datu ievade'!E210</f>
        <v>979.99115222248713</v>
      </c>
      <c r="G116" s="110">
        <f>SUM(Aprēķini!G37,Aprēķini!G43,Aprēķini!G49)*'Datu ievade'!F210</f>
        <v>979.99115222248713</v>
      </c>
      <c r="H116" s="110">
        <f>SUM(Aprēķini!H37,Aprēķini!H43,Aprēķini!H49)*'Datu ievade'!G210</f>
        <v>979.99115222248713</v>
      </c>
      <c r="I116" s="110">
        <f>SUM(Aprēķini!I37,Aprēķini!I43,Aprēķini!I49)*'Datu ievade'!H210</f>
        <v>979.99115222248713</v>
      </c>
      <c r="J116" s="110">
        <f>SUM(Aprēķini!J37,Aprēķini!J43,Aprēķini!J49)*'Datu ievade'!I210</f>
        <v>979.99115222248713</v>
      </c>
      <c r="K116" s="110">
        <f>SUM(Aprēķini!K37,Aprēķini!K43,Aprēķini!K49)*'Datu ievade'!J210</f>
        <v>979.99115222248713</v>
      </c>
      <c r="L116" s="110">
        <f>SUM(Aprēķini!L37,Aprēķini!L43,Aprēķini!L49)*'Datu ievade'!K210</f>
        <v>979.99115222248713</v>
      </c>
      <c r="M116" s="110">
        <f>SUM(Aprēķini!M37,Aprēķini!M43,Aprēķini!M49)*'Datu ievade'!L210</f>
        <v>979.99115222248713</v>
      </c>
      <c r="N116" s="110">
        <f>SUM(Aprēķini!N37,Aprēķini!N43,Aprēķini!N49)*'Datu ievade'!M210</f>
        <v>699.49115222248713</v>
      </c>
      <c r="O116" s="110">
        <f>SUM(Aprēķini!O37,Aprēķini!O43,Aprēķini!O49)*'Datu ievade'!N210</f>
        <v>699.49115222248713</v>
      </c>
      <c r="P116" s="110">
        <f>SUM(Aprēķini!P37,Aprēķini!P43,Aprēķini!P49)*'Datu ievade'!O210</f>
        <v>699.49115222248713</v>
      </c>
      <c r="Q116" s="110">
        <f>SUM(Aprēķini!Q37,Aprēķini!Q43,Aprēķini!Q49)*'Datu ievade'!P210</f>
        <v>699.49115222248713</v>
      </c>
      <c r="R116" s="110">
        <f>SUM(Aprēķini!R37,Aprēķini!R43,Aprēķini!R49)*'Datu ievade'!Q210</f>
        <v>699.49115222248713</v>
      </c>
      <c r="S116" s="110">
        <f>SUM(Aprēķini!S37,Aprēķini!S43,Aprēķini!S49)*'Datu ievade'!R210</f>
        <v>699.49115222248713</v>
      </c>
      <c r="T116" s="110">
        <f>SUM(Aprēķini!T37,Aprēķini!T43,Aprēķini!T49)*'Datu ievade'!S210</f>
        <v>699.49115222248713</v>
      </c>
      <c r="U116" s="110">
        <f>SUM(Aprēķini!U37,Aprēķini!U43,Aprēķini!U49)*'Datu ievade'!T210</f>
        <v>699.49115222248713</v>
      </c>
      <c r="V116" s="110">
        <f>SUM(Aprēķini!V37,Aprēķini!V43,Aprēķini!V49)*'Datu ievade'!U210</f>
        <v>699.49115222248713</v>
      </c>
      <c r="W116" s="110">
        <f>SUM(Aprēķini!W37,Aprēķini!W43,Aprēķini!W49)*'Datu ievade'!V210</f>
        <v>699.49115222248713</v>
      </c>
      <c r="X116" s="110">
        <f>SUM(Aprēķini!X37,Aprēķini!X43,Aprēķini!X49)*'Datu ievade'!W210</f>
        <v>699.49115222248713</v>
      </c>
      <c r="Y116" s="110">
        <f>SUM(Aprēķini!Y37,Aprēķini!Y43,Aprēķini!Y49)*'Datu ievade'!X210</f>
        <v>699.49115222248713</v>
      </c>
      <c r="Z116" s="110">
        <f>SUM(Aprēķini!Z37,Aprēķini!Z43,Aprēķini!Z49)*'Datu ievade'!Y210</f>
        <v>699.49115222248713</v>
      </c>
      <c r="AA116" s="110">
        <f>SUM(Aprēķini!AA37,Aprēķini!AA43,Aprēķini!AA49)*'Datu ievade'!Z210</f>
        <v>699.49115222248713</v>
      </c>
      <c r="AB116" s="110">
        <f>SUM(Aprēķini!AB37,Aprēķini!AB43,Aprēķini!AB49)*'Datu ievade'!AA210</f>
        <v>699.49115222248713</v>
      </c>
      <c r="AC116" s="110">
        <f>SUM(Aprēķini!AC37,Aprēķini!AC43,Aprēķini!AC49)*'Datu ievade'!AB210</f>
        <v>699.49115222248713</v>
      </c>
      <c r="AD116" s="110">
        <f>SUM(Aprēķini!AD37,Aprēķini!AD43,Aprēķini!AD49)*'Datu ievade'!AC210</f>
        <v>699.49115222248713</v>
      </c>
      <c r="AE116" s="110">
        <f>SUM(Aprēķini!AE37,Aprēķini!AE43,Aprēķini!AE49)*'Datu ievade'!AD210</f>
        <v>699.49115222248713</v>
      </c>
      <c r="AF116" s="110">
        <f>SUM(Aprēķini!AF37,Aprēķini!AF43,Aprēķini!AF49)*'Datu ievade'!AE210</f>
        <v>699.49115222248713</v>
      </c>
      <c r="AG116" s="110">
        <f>SUM(Aprēķini!AG37,Aprēķini!AG43,Aprēķini!AG49)*'Datu ievade'!AF210</f>
        <v>699.49115222248713</v>
      </c>
      <c r="AH116" s="110">
        <f>SUM(Aprēķini!AH37,Aprēķini!AH43,Aprēķini!AH49)*'Datu ievade'!AG210</f>
        <v>699.49115222248713</v>
      </c>
    </row>
    <row r="117" spans="1:34" outlineLevel="1" x14ac:dyDescent="0.2">
      <c r="A117" s="28" t="s">
        <v>375</v>
      </c>
      <c r="B117" s="110">
        <f>Aprēķini!B257*$B$125</f>
        <v>32.030770467469843</v>
      </c>
      <c r="C117" s="110">
        <f>Aprēķini!C257*$B$125</f>
        <v>32.030770467469843</v>
      </c>
      <c r="D117" s="110">
        <f>Aprēķini!D257*$B$125</f>
        <v>43.821705124841777</v>
      </c>
      <c r="E117" s="110">
        <f>Aprēķini!E257*$B$125</f>
        <v>74.679588071597081</v>
      </c>
      <c r="F117" s="110">
        <f>Aprēķini!F257*$B$125</f>
        <v>73.650991973371916</v>
      </c>
      <c r="G117" s="110">
        <f>Aprēķini!G257*$B$125</f>
        <v>72.622395875146736</v>
      </c>
      <c r="H117" s="110">
        <f>Aprēķini!H257*$B$125</f>
        <v>71.593799776921543</v>
      </c>
      <c r="I117" s="110">
        <f>Aprēķini!I257*$B$125</f>
        <v>70.565203678696363</v>
      </c>
      <c r="J117" s="110">
        <f>Aprēķini!J257*$B$125</f>
        <v>69.536607580471198</v>
      </c>
      <c r="K117" s="110">
        <f>Aprēķini!K257*$B$125</f>
        <v>68.508011482246005</v>
      </c>
      <c r="L117" s="110">
        <f>Aprēķini!L257*$B$125</f>
        <v>67.479415384020825</v>
      </c>
      <c r="M117" s="110">
        <f>Aprēķini!M257*$B$125</f>
        <v>66.450819285795646</v>
      </c>
      <c r="N117" s="110">
        <f>Aprēķini!N257*$B$125</f>
        <v>65.422223187570467</v>
      </c>
      <c r="O117" s="110">
        <f>Aprēķini!O257*$B$125</f>
        <v>64.393627089345287</v>
      </c>
      <c r="P117" s="110">
        <f>Aprēķini!P257*$B$125</f>
        <v>63.365030991120108</v>
      </c>
      <c r="Q117" s="110">
        <f>Aprēķini!Q257*$B$125</f>
        <v>62.336434892894928</v>
      </c>
      <c r="R117" s="110">
        <f>Aprēķini!R257*$B$125</f>
        <v>61.307838794669742</v>
      </c>
      <c r="S117" s="110">
        <f>Aprēķini!S257*$B$125</f>
        <v>60.27924269644457</v>
      </c>
      <c r="T117" s="110">
        <f>Aprēķini!T257*$B$125</f>
        <v>59.25064659821939</v>
      </c>
      <c r="U117" s="110">
        <f>Aprēķini!U257*$B$125</f>
        <v>58.222050499994211</v>
      </c>
      <c r="V117" s="110">
        <f>Aprēķini!V257*$B$125</f>
        <v>57.193454401769024</v>
      </c>
      <c r="W117" s="110">
        <f>Aprēķini!W257*$B$125</f>
        <v>56.164858303543845</v>
      </c>
      <c r="X117" s="110">
        <f>Aprēķini!X257*$B$125</f>
        <v>55.136262205318673</v>
      </c>
      <c r="Y117" s="110">
        <f>Aprēķini!Y257*$B$125</f>
        <v>54.107666107093479</v>
      </c>
      <c r="Z117" s="110">
        <f>Aprēķini!Z257*$B$125</f>
        <v>53.079070008868307</v>
      </c>
      <c r="AA117" s="110">
        <f>Aprēķini!AA257*$B$125</f>
        <v>52.050473910643127</v>
      </c>
      <c r="AB117" s="110">
        <f>Aprēķini!AB257*$B$125</f>
        <v>51.021877812417948</v>
      </c>
      <c r="AC117" s="110">
        <f>Aprēķini!AC257*$B$125</f>
        <v>49.993281714192769</v>
      </c>
      <c r="AD117" s="110">
        <f>Aprēķini!AD257*$B$125</f>
        <v>48.964685615967589</v>
      </c>
      <c r="AE117" s="110">
        <f>Aprēķini!AE257*$B$125</f>
        <v>47.93608951774241</v>
      </c>
      <c r="AF117" s="110">
        <f>Aprēķini!AF257*$B$125</f>
        <v>46.90749341951723</v>
      </c>
      <c r="AG117" s="110">
        <f>Aprēķini!AG257*$B$125</f>
        <v>45.878897321292044</v>
      </c>
      <c r="AH117" s="110">
        <f>Aprēķini!AH257*$B$125</f>
        <v>44.850301223066872</v>
      </c>
    </row>
    <row r="118" spans="1:34" outlineLevel="1" x14ac:dyDescent="0.2">
      <c r="A118" s="28" t="s">
        <v>84</v>
      </c>
      <c r="B118" s="110">
        <f>Aprēķini!B258*B125</f>
        <v>0</v>
      </c>
      <c r="C118" s="110">
        <f>Aprēķini!C258*C125</f>
        <v>0</v>
      </c>
      <c r="D118" s="110">
        <f>Aprēķini!D258*D125</f>
        <v>0</v>
      </c>
      <c r="E118" s="110">
        <f>Aprēķini!E258*E125</f>
        <v>0</v>
      </c>
      <c r="F118" s="110">
        <f>Aprēķini!F258*F125</f>
        <v>0</v>
      </c>
      <c r="G118" s="110">
        <f>Aprēķini!G258*G125</f>
        <v>0</v>
      </c>
      <c r="H118" s="110">
        <f>Aprēķini!H258*H125</f>
        <v>0</v>
      </c>
      <c r="I118" s="110">
        <f>Aprēķini!I258*I125</f>
        <v>0</v>
      </c>
      <c r="J118" s="110">
        <f>Aprēķini!J258*J125</f>
        <v>0</v>
      </c>
      <c r="K118" s="110">
        <f>Aprēķini!K258*K125</f>
        <v>0</v>
      </c>
      <c r="L118" s="110">
        <f>Aprēķini!L258*L125</f>
        <v>0</v>
      </c>
      <c r="M118" s="110">
        <f>Aprēķini!M258*M125</f>
        <v>0</v>
      </c>
      <c r="N118" s="110">
        <f>Aprēķini!N258*N125</f>
        <v>0</v>
      </c>
      <c r="O118" s="110">
        <f>Aprēķini!O258*O125</f>
        <v>0</v>
      </c>
      <c r="P118" s="110">
        <f>Aprēķini!P258*P125</f>
        <v>0</v>
      </c>
      <c r="Q118" s="110">
        <f>Aprēķini!Q258*Q125</f>
        <v>0</v>
      </c>
      <c r="R118" s="110">
        <f>Aprēķini!R258*R125</f>
        <v>0</v>
      </c>
      <c r="S118" s="110">
        <f>Aprēķini!S258*S125</f>
        <v>0</v>
      </c>
      <c r="T118" s="110">
        <f>Aprēķini!T258*T125</f>
        <v>0</v>
      </c>
      <c r="U118" s="110">
        <f>Aprēķini!U258*U125</f>
        <v>0</v>
      </c>
      <c r="V118" s="110">
        <f>Aprēķini!V258*V125</f>
        <v>0</v>
      </c>
      <c r="W118" s="110">
        <f>Aprēķini!W258*W125</f>
        <v>0</v>
      </c>
      <c r="X118" s="110">
        <f>Aprēķini!X258*X125</f>
        <v>0</v>
      </c>
      <c r="Y118" s="110">
        <f>Aprēķini!Y258*Y125</f>
        <v>0</v>
      </c>
      <c r="Z118" s="110">
        <f>Aprēķini!Z258*Z125</f>
        <v>0</v>
      </c>
      <c r="AA118" s="110">
        <f>Aprēķini!AA258*AA125</f>
        <v>0</v>
      </c>
      <c r="AB118" s="110">
        <f>Aprēķini!AB258*AB125</f>
        <v>0</v>
      </c>
      <c r="AC118" s="110">
        <f>Aprēķini!AC258*AC125</f>
        <v>0</v>
      </c>
      <c r="AD118" s="110">
        <f>Aprēķini!AD258*AD125</f>
        <v>0</v>
      </c>
      <c r="AE118" s="110">
        <f>Aprēķini!AE258*AE125</f>
        <v>0</v>
      </c>
      <c r="AF118" s="110">
        <f>Aprēķini!AF258*AF125</f>
        <v>0</v>
      </c>
      <c r="AG118" s="110">
        <f>Aprēķini!AG258*AG125</f>
        <v>0</v>
      </c>
      <c r="AH118" s="110">
        <f>Aprēķini!AH258*AH125</f>
        <v>0</v>
      </c>
    </row>
    <row r="119" spans="1:34" outlineLevel="1" x14ac:dyDescent="0.2">
      <c r="B119" s="110"/>
      <c r="C119" s="110"/>
      <c r="D119" s="110"/>
      <c r="E119" s="110"/>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10"/>
      <c r="AB119" s="110"/>
      <c r="AC119" s="110"/>
      <c r="AD119" s="110"/>
      <c r="AE119" s="110"/>
      <c r="AF119" s="110"/>
      <c r="AG119" s="110"/>
      <c r="AH119" s="110"/>
    </row>
    <row r="120" spans="1:34" ht="14.25" outlineLevel="1" x14ac:dyDescent="0.2">
      <c r="A120" s="421" t="s">
        <v>65</v>
      </c>
      <c r="B120" s="110">
        <f>'Datu ievade'!B80*'Datu ievade'!B81*365/1000</f>
        <v>226315</v>
      </c>
      <c r="C120" s="110">
        <f>C51</f>
        <v>226655.32330827069</v>
      </c>
      <c r="D120" s="110">
        <f>'Datu ievade'!C96</f>
        <v>227335.96992481206</v>
      </c>
      <c r="E120" s="110">
        <f>'Datu ievade'!D96</f>
        <v>228697.26315789472</v>
      </c>
      <c r="F120" s="110">
        <f>'Datu ievade'!E96</f>
        <v>229620.99785177232</v>
      </c>
      <c r="G120" s="110">
        <f>'Datu ievade'!F96</f>
        <v>230544.73254564987</v>
      </c>
      <c r="H120" s="110">
        <f>'Datu ievade'!G96</f>
        <v>230544.73254564987</v>
      </c>
      <c r="I120" s="110">
        <f>'Datu ievade'!H96</f>
        <v>230544.73254564987</v>
      </c>
      <c r="J120" s="110">
        <f>I120</f>
        <v>230544.73254564987</v>
      </c>
      <c r="K120" s="110">
        <f t="shared" ref="K120:AH120" si="49">J120</f>
        <v>230544.73254564987</v>
      </c>
      <c r="L120" s="110">
        <f t="shared" si="49"/>
        <v>230544.73254564987</v>
      </c>
      <c r="M120" s="110">
        <f t="shared" si="49"/>
        <v>230544.73254564987</v>
      </c>
      <c r="N120" s="110">
        <f t="shared" si="49"/>
        <v>230544.73254564987</v>
      </c>
      <c r="O120" s="110">
        <f t="shared" si="49"/>
        <v>230544.73254564987</v>
      </c>
      <c r="P120" s="110">
        <f t="shared" si="49"/>
        <v>230544.73254564987</v>
      </c>
      <c r="Q120" s="110">
        <f t="shared" si="49"/>
        <v>230544.73254564987</v>
      </c>
      <c r="R120" s="110">
        <f t="shared" si="49"/>
        <v>230544.73254564987</v>
      </c>
      <c r="S120" s="110">
        <f t="shared" si="49"/>
        <v>230544.73254564987</v>
      </c>
      <c r="T120" s="110">
        <f t="shared" si="49"/>
        <v>230544.73254564987</v>
      </c>
      <c r="U120" s="110">
        <f t="shared" si="49"/>
        <v>230544.73254564987</v>
      </c>
      <c r="V120" s="110">
        <f t="shared" si="49"/>
        <v>230544.73254564987</v>
      </c>
      <c r="W120" s="110">
        <f t="shared" si="49"/>
        <v>230544.73254564987</v>
      </c>
      <c r="X120" s="110">
        <f t="shared" si="49"/>
        <v>230544.73254564987</v>
      </c>
      <c r="Y120" s="110">
        <f t="shared" si="49"/>
        <v>230544.73254564987</v>
      </c>
      <c r="Z120" s="110">
        <f t="shared" si="49"/>
        <v>230544.73254564987</v>
      </c>
      <c r="AA120" s="110">
        <f t="shared" si="49"/>
        <v>230544.73254564987</v>
      </c>
      <c r="AB120" s="110">
        <f t="shared" si="49"/>
        <v>230544.73254564987</v>
      </c>
      <c r="AC120" s="110">
        <f t="shared" si="49"/>
        <v>230544.73254564987</v>
      </c>
      <c r="AD120" s="110">
        <f t="shared" si="49"/>
        <v>230544.73254564987</v>
      </c>
      <c r="AE120" s="110">
        <f t="shared" si="49"/>
        <v>230544.73254564987</v>
      </c>
      <c r="AF120" s="110">
        <f t="shared" si="49"/>
        <v>230544.73254564987</v>
      </c>
      <c r="AG120" s="110">
        <f t="shared" si="49"/>
        <v>230544.73254564987</v>
      </c>
      <c r="AH120" s="110">
        <f t="shared" si="49"/>
        <v>230544.73254564987</v>
      </c>
    </row>
    <row r="121" spans="1:34" ht="14.25" outlineLevel="1" x14ac:dyDescent="0.2">
      <c r="A121" s="421" t="s">
        <v>66</v>
      </c>
      <c r="B121" s="110">
        <f>'Datu ievade'!B82</f>
        <v>26144</v>
      </c>
      <c r="C121" s="110">
        <f>'Datu ievade'!C97</f>
        <v>26144</v>
      </c>
      <c r="D121" s="110">
        <f>'Datu ievade'!D97</f>
        <v>26144</v>
      </c>
      <c r="E121" s="110">
        <f>'Datu ievade'!E97</f>
        <v>26144</v>
      </c>
      <c r="F121" s="110">
        <f>'Datu ievade'!F97</f>
        <v>26144</v>
      </c>
      <c r="G121" s="110">
        <f>'Datu ievade'!G97</f>
        <v>26144</v>
      </c>
      <c r="H121" s="110">
        <f>'Datu ievade'!H97</f>
        <v>26144</v>
      </c>
      <c r="I121" s="110">
        <f>H121</f>
        <v>26144</v>
      </c>
      <c r="J121" s="110">
        <f t="shared" ref="J121:AH121" si="50">I121</f>
        <v>26144</v>
      </c>
      <c r="K121" s="110">
        <f t="shared" si="50"/>
        <v>26144</v>
      </c>
      <c r="L121" s="110">
        <f t="shared" si="50"/>
        <v>26144</v>
      </c>
      <c r="M121" s="110">
        <f t="shared" si="50"/>
        <v>26144</v>
      </c>
      <c r="N121" s="110">
        <f t="shared" si="50"/>
        <v>26144</v>
      </c>
      <c r="O121" s="110">
        <f t="shared" si="50"/>
        <v>26144</v>
      </c>
      <c r="P121" s="110">
        <f t="shared" si="50"/>
        <v>26144</v>
      </c>
      <c r="Q121" s="110">
        <f t="shared" si="50"/>
        <v>26144</v>
      </c>
      <c r="R121" s="110">
        <f t="shared" si="50"/>
        <v>26144</v>
      </c>
      <c r="S121" s="110">
        <f t="shared" si="50"/>
        <v>26144</v>
      </c>
      <c r="T121" s="110">
        <f t="shared" si="50"/>
        <v>26144</v>
      </c>
      <c r="U121" s="110">
        <f t="shared" si="50"/>
        <v>26144</v>
      </c>
      <c r="V121" s="110">
        <f t="shared" si="50"/>
        <v>26144</v>
      </c>
      <c r="W121" s="110">
        <f t="shared" si="50"/>
        <v>26144</v>
      </c>
      <c r="X121" s="110">
        <f t="shared" si="50"/>
        <v>26144</v>
      </c>
      <c r="Y121" s="110">
        <f t="shared" si="50"/>
        <v>26144</v>
      </c>
      <c r="Z121" s="110">
        <f t="shared" si="50"/>
        <v>26144</v>
      </c>
      <c r="AA121" s="110">
        <f t="shared" si="50"/>
        <v>26144</v>
      </c>
      <c r="AB121" s="110">
        <f t="shared" si="50"/>
        <v>26144</v>
      </c>
      <c r="AC121" s="110">
        <f t="shared" si="50"/>
        <v>26144</v>
      </c>
      <c r="AD121" s="110">
        <f t="shared" si="50"/>
        <v>26144</v>
      </c>
      <c r="AE121" s="110">
        <f t="shared" si="50"/>
        <v>26144</v>
      </c>
      <c r="AF121" s="110">
        <f t="shared" si="50"/>
        <v>26144</v>
      </c>
      <c r="AG121" s="110">
        <f t="shared" si="50"/>
        <v>26144</v>
      </c>
      <c r="AH121" s="110">
        <f t="shared" si="50"/>
        <v>26144</v>
      </c>
    </row>
    <row r="122" spans="1:34" ht="14.25" outlineLevel="1" x14ac:dyDescent="0.2">
      <c r="A122" s="421" t="s">
        <v>67</v>
      </c>
      <c r="B122" s="110">
        <f>'Datu ievade'!B83</f>
        <v>91735</v>
      </c>
      <c r="C122" s="110">
        <f>'Datu ievade'!C98</f>
        <v>91735</v>
      </c>
      <c r="D122" s="110">
        <f>'Datu ievade'!D98</f>
        <v>91735</v>
      </c>
      <c r="E122" s="110">
        <f>'Datu ievade'!E98</f>
        <v>91735</v>
      </c>
      <c r="F122" s="110">
        <f>'Datu ievade'!F98</f>
        <v>91735</v>
      </c>
      <c r="G122" s="110">
        <f>'Datu ievade'!G98</f>
        <v>91735</v>
      </c>
      <c r="H122" s="110">
        <f>'Datu ievade'!H98</f>
        <v>91735</v>
      </c>
      <c r="I122" s="110">
        <f>H122</f>
        <v>91735</v>
      </c>
      <c r="J122" s="110">
        <f t="shared" ref="J122:AH122" si="51">I122</f>
        <v>91735</v>
      </c>
      <c r="K122" s="110">
        <f t="shared" si="51"/>
        <v>91735</v>
      </c>
      <c r="L122" s="110">
        <f t="shared" si="51"/>
        <v>91735</v>
      </c>
      <c r="M122" s="110">
        <f t="shared" si="51"/>
        <v>91735</v>
      </c>
      <c r="N122" s="110">
        <f t="shared" si="51"/>
        <v>91735</v>
      </c>
      <c r="O122" s="110">
        <f t="shared" si="51"/>
        <v>91735</v>
      </c>
      <c r="P122" s="110">
        <f t="shared" si="51"/>
        <v>91735</v>
      </c>
      <c r="Q122" s="110">
        <f t="shared" si="51"/>
        <v>91735</v>
      </c>
      <c r="R122" s="110">
        <f t="shared" si="51"/>
        <v>91735</v>
      </c>
      <c r="S122" s="110">
        <f t="shared" si="51"/>
        <v>91735</v>
      </c>
      <c r="T122" s="110">
        <f t="shared" si="51"/>
        <v>91735</v>
      </c>
      <c r="U122" s="110">
        <f t="shared" si="51"/>
        <v>91735</v>
      </c>
      <c r="V122" s="110">
        <f t="shared" si="51"/>
        <v>91735</v>
      </c>
      <c r="W122" s="110">
        <f t="shared" si="51"/>
        <v>91735</v>
      </c>
      <c r="X122" s="110">
        <f t="shared" si="51"/>
        <v>91735</v>
      </c>
      <c r="Y122" s="110">
        <f t="shared" si="51"/>
        <v>91735</v>
      </c>
      <c r="Z122" s="110">
        <f t="shared" si="51"/>
        <v>91735</v>
      </c>
      <c r="AA122" s="110">
        <f t="shared" si="51"/>
        <v>91735</v>
      </c>
      <c r="AB122" s="110">
        <f t="shared" si="51"/>
        <v>91735</v>
      </c>
      <c r="AC122" s="110">
        <f t="shared" si="51"/>
        <v>91735</v>
      </c>
      <c r="AD122" s="110">
        <f t="shared" si="51"/>
        <v>91735</v>
      </c>
      <c r="AE122" s="110">
        <f t="shared" si="51"/>
        <v>91735</v>
      </c>
      <c r="AF122" s="110">
        <f t="shared" si="51"/>
        <v>91735</v>
      </c>
      <c r="AG122" s="110">
        <f t="shared" si="51"/>
        <v>91735</v>
      </c>
      <c r="AH122" s="110">
        <f t="shared" si="51"/>
        <v>91735</v>
      </c>
    </row>
    <row r="123" spans="1:34" ht="14.25" outlineLevel="1" x14ac:dyDescent="0.2">
      <c r="A123" s="307" t="s">
        <v>68</v>
      </c>
      <c r="B123" s="110">
        <f>SUM(B120:B122)</f>
        <v>344194</v>
      </c>
      <c r="C123" s="110">
        <f>SUM(C120:C122)</f>
        <v>344534.32330827066</v>
      </c>
      <c r="D123" s="110">
        <f t="shared" ref="D123:AH123" si="52">SUM(D120:D122)</f>
        <v>345214.96992481209</v>
      </c>
      <c r="E123" s="110">
        <f t="shared" si="52"/>
        <v>346576.26315789472</v>
      </c>
      <c r="F123" s="110">
        <f t="shared" si="52"/>
        <v>347499.99785177235</v>
      </c>
      <c r="G123" s="110">
        <f t="shared" si="52"/>
        <v>348423.73254564987</v>
      </c>
      <c r="H123" s="110">
        <f t="shared" si="52"/>
        <v>348423.73254564987</v>
      </c>
      <c r="I123" s="110">
        <f t="shared" si="52"/>
        <v>348423.73254564987</v>
      </c>
      <c r="J123" s="110">
        <f t="shared" si="52"/>
        <v>348423.73254564987</v>
      </c>
      <c r="K123" s="110">
        <f t="shared" si="52"/>
        <v>348423.73254564987</v>
      </c>
      <c r="L123" s="110">
        <f t="shared" si="52"/>
        <v>348423.73254564987</v>
      </c>
      <c r="M123" s="110">
        <f t="shared" si="52"/>
        <v>348423.73254564987</v>
      </c>
      <c r="N123" s="110">
        <f t="shared" si="52"/>
        <v>348423.73254564987</v>
      </c>
      <c r="O123" s="110">
        <f t="shared" si="52"/>
        <v>348423.73254564987</v>
      </c>
      <c r="P123" s="110">
        <f t="shared" si="52"/>
        <v>348423.73254564987</v>
      </c>
      <c r="Q123" s="110">
        <f t="shared" si="52"/>
        <v>348423.73254564987</v>
      </c>
      <c r="R123" s="110">
        <f t="shared" si="52"/>
        <v>348423.73254564987</v>
      </c>
      <c r="S123" s="110">
        <f t="shared" si="52"/>
        <v>348423.73254564987</v>
      </c>
      <c r="T123" s="110">
        <f t="shared" si="52"/>
        <v>348423.73254564987</v>
      </c>
      <c r="U123" s="110">
        <f t="shared" si="52"/>
        <v>348423.73254564987</v>
      </c>
      <c r="V123" s="110">
        <f t="shared" si="52"/>
        <v>348423.73254564987</v>
      </c>
      <c r="W123" s="110">
        <f t="shared" si="52"/>
        <v>348423.73254564987</v>
      </c>
      <c r="X123" s="110">
        <f t="shared" si="52"/>
        <v>348423.73254564987</v>
      </c>
      <c r="Y123" s="110">
        <f t="shared" si="52"/>
        <v>348423.73254564987</v>
      </c>
      <c r="Z123" s="110">
        <f t="shared" si="52"/>
        <v>348423.73254564987</v>
      </c>
      <c r="AA123" s="110">
        <f t="shared" si="52"/>
        <v>348423.73254564987</v>
      </c>
      <c r="AB123" s="110">
        <f t="shared" si="52"/>
        <v>348423.73254564987</v>
      </c>
      <c r="AC123" s="110">
        <f t="shared" si="52"/>
        <v>348423.73254564987</v>
      </c>
      <c r="AD123" s="110">
        <f t="shared" si="52"/>
        <v>348423.73254564987</v>
      </c>
      <c r="AE123" s="110">
        <f t="shared" si="52"/>
        <v>348423.73254564987</v>
      </c>
      <c r="AF123" s="110">
        <f t="shared" si="52"/>
        <v>348423.73254564987</v>
      </c>
      <c r="AG123" s="110">
        <f t="shared" si="52"/>
        <v>348423.73254564987</v>
      </c>
      <c r="AH123" s="110">
        <f t="shared" si="52"/>
        <v>348423.73254564987</v>
      </c>
    </row>
    <row r="124" spans="1:34" outlineLevel="1" x14ac:dyDescent="0.2">
      <c r="B124" s="110"/>
      <c r="C124" s="110"/>
      <c r="D124" s="110"/>
      <c r="E124" s="110"/>
      <c r="F124" s="110"/>
      <c r="G124" s="110"/>
      <c r="H124" s="110"/>
      <c r="I124" s="110"/>
      <c r="J124" s="110"/>
      <c r="K124" s="110"/>
      <c r="L124" s="110"/>
      <c r="M124" s="110"/>
      <c r="N124" s="110"/>
      <c r="O124" s="110"/>
      <c r="P124" s="110"/>
      <c r="Q124" s="110"/>
      <c r="R124" s="110"/>
      <c r="S124" s="110"/>
      <c r="T124" s="110"/>
      <c r="U124" s="110"/>
      <c r="V124" s="110"/>
      <c r="W124" s="110"/>
      <c r="X124" s="110"/>
      <c r="Y124" s="110"/>
      <c r="Z124" s="110"/>
      <c r="AA124" s="110"/>
      <c r="AB124" s="110"/>
      <c r="AC124" s="110"/>
      <c r="AD124" s="110"/>
      <c r="AE124" s="110"/>
      <c r="AF124" s="110"/>
      <c r="AG124" s="110"/>
      <c r="AH124" s="110"/>
    </row>
    <row r="125" spans="1:34" outlineLevel="1" x14ac:dyDescent="0.2">
      <c r="A125" s="28" t="s">
        <v>85</v>
      </c>
      <c r="B125" s="305">
        <f>Aprēķini!B128</f>
        <v>2.5777549419169925E-2</v>
      </c>
      <c r="H125" s="308"/>
    </row>
    <row r="126" spans="1:34" outlineLevel="1" x14ac:dyDescent="0.2">
      <c r="A126" s="28" t="s">
        <v>86</v>
      </c>
      <c r="B126" s="305">
        <f>Līdzfinansējums!F35</f>
        <v>0.62424416999999999</v>
      </c>
      <c r="C126" s="309"/>
      <c r="H126" s="308"/>
      <c r="I126" s="93"/>
      <c r="J126" s="93"/>
      <c r="K126" s="93"/>
      <c r="L126" s="93"/>
    </row>
    <row r="127" spans="1:34" outlineLevel="1" x14ac:dyDescent="0.2">
      <c r="A127" s="28" t="s">
        <v>63</v>
      </c>
      <c r="B127" s="305">
        <f>'Datu ievade'!B204</f>
        <v>0.06</v>
      </c>
      <c r="I127" s="93"/>
      <c r="J127" s="93"/>
      <c r="K127" s="93"/>
      <c r="L127" s="93"/>
    </row>
    <row r="128" spans="1:34" outlineLevel="1" x14ac:dyDescent="0.2">
      <c r="B128" s="305"/>
      <c r="D128" s="528"/>
      <c r="E128" s="528"/>
      <c r="F128" s="528"/>
      <c r="G128" s="528"/>
      <c r="H128" s="528"/>
      <c r="I128" s="528"/>
      <c r="J128" s="528"/>
      <c r="K128" s="528"/>
      <c r="L128" s="528"/>
      <c r="M128" s="528"/>
      <c r="N128" s="528"/>
      <c r="O128" s="528"/>
      <c r="P128" s="528"/>
      <c r="Q128" s="528"/>
      <c r="R128" s="528"/>
      <c r="S128" s="528"/>
      <c r="T128" s="528"/>
      <c r="U128" s="528"/>
      <c r="V128" s="528"/>
      <c r="W128" s="528"/>
      <c r="X128" s="528"/>
      <c r="Y128" s="528"/>
      <c r="Z128" s="528"/>
      <c r="AA128" s="528"/>
      <c r="AB128" s="528"/>
      <c r="AC128" s="528"/>
      <c r="AD128" s="528"/>
      <c r="AE128" s="528"/>
      <c r="AF128" s="528"/>
      <c r="AG128" s="528"/>
      <c r="AH128" s="528"/>
    </row>
    <row r="129" spans="1:34" ht="14.25" outlineLevel="1" x14ac:dyDescent="0.2">
      <c r="A129" s="533" t="s">
        <v>87</v>
      </c>
      <c r="B129" s="534">
        <f>B64</f>
        <v>0.97</v>
      </c>
      <c r="C129" s="534">
        <f>C64</f>
        <v>0.97000000000000008</v>
      </c>
      <c r="D129" s="535">
        <f>ROUND((1+$B$127)*(D114+D115+D116+D117+IF('Datu ievade'!$B$215='Datu ievade'!AI9,D118*(1-$B$126)*$B$125,0))/D123,3)</f>
        <v>0.98299999999999998</v>
      </c>
      <c r="E129" s="535">
        <f>ROUND((1+$B$127)*(E114+E115+E116+E117+IF('Datu ievade'!$B$215='Datu ievade'!AJ9,E118*(1-$B$126)*$B$125,0))/E123,3)</f>
        <v>0.99399999999999999</v>
      </c>
      <c r="F129" s="535">
        <f>ROUND((1+$B$127)*(F114+F115+F116+F117+IF('Datu ievade'!$B$215='Datu ievade'!AK9,F118*(1-$B$126)*$B$125,0))/F123,3)</f>
        <v>1.006</v>
      </c>
      <c r="G129" s="535">
        <f>ROUND((1+$B$127)*(G114+G115+G116+G117+IF('Datu ievade'!$B$215='Datu ievade'!AL9,G118*(1-$B$126)*$B$125,0))/G123,3)</f>
        <v>1.018</v>
      </c>
      <c r="H129" s="535">
        <f>ROUND((1+$B$127)*(H114+H115+H116+H117+IF('Datu ievade'!$B$215='Datu ievade'!AM9,H118*(1-$B$126)*$B$125,0))/H123,3)</f>
        <v>1.032</v>
      </c>
      <c r="I129" s="535">
        <f>ROUND((1+$B$127)*(I114+I115+I116+I117+IF('Datu ievade'!$B$215='Datu ievade'!AN9,I118*(1-$B$126)*$B$125,0))/I123,3)</f>
        <v>1.0449999999999999</v>
      </c>
      <c r="J129" s="535">
        <f>ROUND((1+$B$127)*(J114+J115+J116+J117+IF('Datu ievade'!$B$215='Datu ievade'!AO9,J118*(1-$B$126)*$B$125,0))/J123,3)</f>
        <v>1.0589999999999999</v>
      </c>
      <c r="K129" s="535">
        <f>ROUND((1+$B$127)*(K114+K115+K116+K117+IF('Datu ievade'!$B$215='Datu ievade'!AP9,K118*(1-$B$126)*$B$125,0))/K123,3)</f>
        <v>1.073</v>
      </c>
      <c r="L129" s="535">
        <f>ROUND((1+$B$127)*(L114+L115+L116+L117+IF('Datu ievade'!$B$215='Datu ievade'!AQ9,L118*(1-$B$126)*$B$125,0))/L123,3)</f>
        <v>1.091</v>
      </c>
      <c r="M129" s="535">
        <f>ROUND((1+$B$127)*(M114+M115+M116+M117+IF('Datu ievade'!$B$215='Datu ievade'!AR9,M118*(1-$B$126)*$B$125,0))/M123,3)</f>
        <v>1.1080000000000001</v>
      </c>
      <c r="N129" s="535">
        <f>ROUND((1+$B$127)*(N114+N115+N116+N117+IF('Datu ievade'!$B$215='Datu ievade'!AS9,N118*(1-$B$126)*$B$125,0))/N123,3)</f>
        <v>1.109</v>
      </c>
      <c r="O129" s="535">
        <f>ROUND((1+$B$127)*(O114+O115+O116+O117+IF('Datu ievade'!$B$215='Datu ievade'!AT9,O118*(1-$B$126)*$B$125,0))/O123,3)</f>
        <v>1.111</v>
      </c>
      <c r="P129" s="535">
        <f>ROUND((1+$B$127)*(P114+P115+P116+P117+IF('Datu ievade'!$B$215='Datu ievade'!AU9,P118*(1-$B$126)*$B$125,0))/P123,3)</f>
        <v>1.131</v>
      </c>
      <c r="Q129" s="535">
        <f>ROUND((1+$B$127)*(Q114+Q115+Q116+Q117+IF('Datu ievade'!$B$215='Datu ievade'!AV9,Q118*(1-$B$126)*$B$125,0))/Q123,3)</f>
        <v>1.141</v>
      </c>
      <c r="R129" s="535">
        <f>ROUND((1+$B$127)*(R114+R115+R116+R117+IF('Datu ievade'!$B$215='Datu ievade'!AW9,R118*(1-$B$126)*$B$125,0))/R123,3)</f>
        <v>1.1279999999999999</v>
      </c>
      <c r="S129" s="535">
        <f>ROUND((1+$B$127)*(S114+S115+S116+S117+IF('Datu ievade'!$B$215='Datu ievade'!AX9,S118*(1-$B$126)*$B$125,0))/S123,3)</f>
        <v>1.161</v>
      </c>
      <c r="T129" s="535">
        <f>ROUND((1+$B$127)*(T114+T115+T116+T117+IF('Datu ievade'!$B$215='Datu ievade'!AY9,T118*(1-$B$126)*$B$125,0))/T123,3)</f>
        <v>1.169</v>
      </c>
      <c r="U129" s="535">
        <f>ROUND((1+$B$127)*(U114+U115+U116+U117+IF('Datu ievade'!$B$215='Datu ievade'!AZ9,U118*(1-$B$126)*$B$125,0))/U123,3)</f>
        <v>1.1890000000000001</v>
      </c>
      <c r="V129" s="535">
        <f>ROUND((1+$B$127)*(V114+V115+V116+V117+IF('Datu ievade'!$B$215='Datu ievade'!BA9,V118*(1-$B$126)*$B$125,0))/V123,3)</f>
        <v>1.21</v>
      </c>
      <c r="W129" s="535">
        <f>ROUND((1+$B$127)*(W114+W115+W116+W117+IF('Datu ievade'!$B$215='Datu ievade'!BB9,W118*(1-$B$126)*$B$125,0))/W123,3)</f>
        <v>1.2310000000000001</v>
      </c>
      <c r="X129" s="535">
        <f>ROUND((1+$B$127)*(X114+X115+X116+X117+IF('Datu ievade'!$B$215='Datu ievade'!BC9,X118*(1-$B$126)*$B$125,0))/X123,3)</f>
        <v>1.2509999999999999</v>
      </c>
      <c r="Y129" s="535">
        <f>ROUND((1+$B$127)*(Y114+Y115+Y116+Y117+IF('Datu ievade'!$B$215='Datu ievade'!BD9,Y118*(1-$B$126)*$B$125,0))/Y123,3)</f>
        <v>1.272</v>
      </c>
      <c r="Z129" s="535">
        <f>ROUND((1+$B$127)*(Z114+Z115+Z116+Z117+IF('Datu ievade'!$B$215='Datu ievade'!BE9,Z118*(1-$B$126)*$B$125,0))/Z123,3)</f>
        <v>1.292</v>
      </c>
      <c r="AA129" s="535">
        <f>ROUND((1+$B$127)*(AA114+AA115+AA116+AA117+IF('Datu ievade'!$B$215='Datu ievade'!BF9,AA118*(1-$B$126)*$B$125,0))/AA123,3)</f>
        <v>1.3129999999999999</v>
      </c>
      <c r="AB129" s="535">
        <f>ROUND((1+$B$127)*(AB114+AB115+AB116+AB117+IF('Datu ievade'!$B$215='Datu ievade'!BG9,AB118*(1-$B$126)*$B$125,0))/AB123,3)</f>
        <v>1.337</v>
      </c>
      <c r="AC129" s="535">
        <f>ROUND((1+$B$127)*(AC114+AC115+AC116+AC117+IF('Datu ievade'!$B$215='Datu ievade'!BH9,AC118*(1-$B$126)*$B$125,0))/AC123,3)</f>
        <v>1.3620000000000001</v>
      </c>
      <c r="AD129" s="535">
        <f>ROUND((1+$B$127)*(AD114+AD115+AD116+AD117+IF('Datu ievade'!$B$215='Datu ievade'!BI9,AD118*(1-$B$126)*$B$125,0))/AD123,3)</f>
        <v>1.4510000000000001</v>
      </c>
      <c r="AE129" s="535">
        <f>ROUND((1+$B$127)*(AE114+AE115+AE116+AE117+IF('Datu ievade'!$B$215='Datu ievade'!BJ9,AE118*(1-$B$126)*$B$125,0))/AE123,3)</f>
        <v>1.476</v>
      </c>
      <c r="AF129" s="535">
        <f>ROUND((1+$B$127)*(AF114+AF115+AF116+AF117+IF('Datu ievade'!$B$215='Datu ievade'!BK9,AF118*(1-$B$126)*$B$125,0))/AF123,3)</f>
        <v>1.4770000000000001</v>
      </c>
      <c r="AG129" s="535">
        <f>ROUND((1+$B$127)*(AG114+AG115+AG116+AG117+IF('Datu ievade'!$B$215='Datu ievade'!BL9,AG118*(1-$B$126)*$B$125,0))/AG123,3)</f>
        <v>1.5049999999999999</v>
      </c>
      <c r="AH129" s="535">
        <f>ROUND((1+$B$127)*(AH114+AH115+AH116+AH117+IF('Datu ievade'!$B$215='Datu ievade'!BM9,AH118*(1-$B$126)*$B$125,0))/AH123,3)</f>
        <v>1.5329999999999999</v>
      </c>
    </row>
    <row r="130" spans="1:34" ht="14.25" outlineLevel="1" x14ac:dyDescent="0.2">
      <c r="A130" s="533" t="s">
        <v>88</v>
      </c>
      <c r="B130" s="534">
        <f>'Iedzivotaju maksatspeja'!B27/1.21</f>
        <v>0.97</v>
      </c>
      <c r="C130" s="534">
        <f>'Iedzivotaju maksatspeja'!C27/1.21</f>
        <v>0.97</v>
      </c>
      <c r="D130" s="535">
        <f>'Iedzivotaju maksatspeja'!D27/1.21</f>
        <v>0.98299999999999998</v>
      </c>
      <c r="E130" s="535">
        <f>'Iedzivotaju maksatspeja'!E27/1.21</f>
        <v>0.99399999999999999</v>
      </c>
      <c r="F130" s="535">
        <f>'Iedzivotaju maksatspeja'!F27/1.21</f>
        <v>1.006</v>
      </c>
      <c r="G130" s="535">
        <f>'Iedzivotaju maksatspeja'!G27/1.21</f>
        <v>1.018</v>
      </c>
      <c r="H130" s="535">
        <f>'Iedzivotaju maksatspeja'!H27/1.21</f>
        <v>1.032</v>
      </c>
      <c r="I130" s="535">
        <f>'Iedzivotaju maksatspeja'!I27/1.21</f>
        <v>1.0449999999999999</v>
      </c>
      <c r="J130" s="535">
        <f>'Iedzivotaju maksatspeja'!J27/1.21</f>
        <v>1.0589999999999999</v>
      </c>
      <c r="K130" s="535">
        <f>'Iedzivotaju maksatspeja'!K27/1.21</f>
        <v>1.073</v>
      </c>
      <c r="L130" s="535">
        <f>'Iedzivotaju maksatspeja'!L27/1.21</f>
        <v>1.091</v>
      </c>
      <c r="M130" s="535">
        <f>'Iedzivotaju maksatspeja'!M27/1.21</f>
        <v>1.1080000000000001</v>
      </c>
      <c r="N130" s="535">
        <f>'Iedzivotaju maksatspeja'!N27/1.21</f>
        <v>1.109</v>
      </c>
      <c r="O130" s="535">
        <f>'Iedzivotaju maksatspeja'!O27/1.21</f>
        <v>1.111</v>
      </c>
      <c r="P130" s="535">
        <f>'Iedzivotaju maksatspeja'!P27/1.21</f>
        <v>1.131</v>
      </c>
      <c r="Q130" s="535">
        <f>'Iedzivotaju maksatspeja'!Q27/1.21</f>
        <v>1.141</v>
      </c>
      <c r="R130" s="535">
        <f>'Iedzivotaju maksatspeja'!R27/1.21</f>
        <v>1.1279999999999999</v>
      </c>
      <c r="S130" s="535">
        <f>'Iedzivotaju maksatspeja'!S27/1.21</f>
        <v>1.161</v>
      </c>
      <c r="T130" s="535">
        <f>'Iedzivotaju maksatspeja'!T27/1.21</f>
        <v>1.169</v>
      </c>
      <c r="U130" s="535">
        <f>'Iedzivotaju maksatspeja'!U27/1.21</f>
        <v>1.1890000000000001</v>
      </c>
      <c r="V130" s="535">
        <f>'Iedzivotaju maksatspeja'!V27/1.21</f>
        <v>1.21</v>
      </c>
      <c r="W130" s="535">
        <f>'Iedzivotaju maksatspeja'!W27/1.21</f>
        <v>1.2310000000000001</v>
      </c>
      <c r="X130" s="535">
        <f>'Iedzivotaju maksatspeja'!X27/1.21</f>
        <v>1.2509999999999999</v>
      </c>
      <c r="Y130" s="535">
        <f>'Iedzivotaju maksatspeja'!Y27/1.21</f>
        <v>1.272</v>
      </c>
      <c r="Z130" s="535">
        <f>'Iedzivotaju maksatspeja'!Z27/1.21</f>
        <v>1.292</v>
      </c>
      <c r="AA130" s="535">
        <f>'Iedzivotaju maksatspeja'!AA27/1.21</f>
        <v>1.3129999999999999</v>
      </c>
      <c r="AB130" s="535">
        <f>'Iedzivotaju maksatspeja'!AB27/1.21</f>
        <v>1.337</v>
      </c>
      <c r="AC130" s="535">
        <f>'Iedzivotaju maksatspeja'!AC27/1.21</f>
        <v>1.3620000000000001</v>
      </c>
      <c r="AD130" s="535">
        <f>'Iedzivotaju maksatspeja'!AD27/1.21</f>
        <v>1.4510000000000001</v>
      </c>
      <c r="AE130" s="535">
        <f>'Iedzivotaju maksatspeja'!AE27/1.21</f>
        <v>1.476</v>
      </c>
      <c r="AF130" s="535">
        <f>'Iedzivotaju maksatspeja'!AF27/1.21</f>
        <v>1.4770000000000001</v>
      </c>
      <c r="AG130" s="535">
        <f>'Iedzivotaju maksatspeja'!AG27/1.21</f>
        <v>1.5049999999999999</v>
      </c>
      <c r="AH130" s="535">
        <f>'Iedzivotaju maksatspeja'!AH27/1.21</f>
        <v>1.5329999999999999</v>
      </c>
    </row>
    <row r="131" spans="1:34" outlineLevel="1" x14ac:dyDescent="0.2">
      <c r="A131" s="755"/>
      <c r="B131" s="757">
        <v>0.99900000000000011</v>
      </c>
      <c r="C131" s="757">
        <v>1.022</v>
      </c>
      <c r="D131" s="756">
        <v>1.044</v>
      </c>
      <c r="E131" s="756">
        <v>1.0509999999999999</v>
      </c>
      <c r="F131" s="756">
        <v>1.06</v>
      </c>
      <c r="G131" s="756">
        <v>1.0660000000000001</v>
      </c>
      <c r="H131" s="756">
        <v>1.083</v>
      </c>
      <c r="I131" s="756">
        <v>1.1000000000000001</v>
      </c>
      <c r="J131" s="756">
        <v>1.117</v>
      </c>
      <c r="K131" s="756">
        <v>1.1339999999999999</v>
      </c>
      <c r="L131" s="756">
        <v>1.151</v>
      </c>
      <c r="M131" s="756">
        <v>1.1679999999999999</v>
      </c>
      <c r="N131" s="756">
        <v>1.1870000000000001</v>
      </c>
      <c r="O131" s="756">
        <v>1.208</v>
      </c>
      <c r="P131" s="756">
        <v>1.2250000000000001</v>
      </c>
      <c r="Q131" s="756">
        <v>1.2250000000000001</v>
      </c>
      <c r="R131" s="756">
        <v>1.2330000000000001</v>
      </c>
      <c r="S131" s="756">
        <v>1.2529999999999999</v>
      </c>
      <c r="T131" s="756">
        <v>1.2729999999999999</v>
      </c>
      <c r="U131" s="756">
        <v>1.2929999999999999</v>
      </c>
      <c r="V131" s="756">
        <v>1.3129999999999999</v>
      </c>
      <c r="W131" s="756">
        <v>1.333</v>
      </c>
      <c r="X131" s="756">
        <v>1.357</v>
      </c>
      <c r="Y131" s="756">
        <v>1.381</v>
      </c>
      <c r="Z131" s="756">
        <v>1.4039999999999999</v>
      </c>
      <c r="AA131" s="756">
        <v>1.4279999999999999</v>
      </c>
      <c r="AB131" s="756">
        <v>1.464</v>
      </c>
      <c r="AC131" s="756">
        <v>1.4850000000000001</v>
      </c>
      <c r="AD131" s="756">
        <v>1.4810000000000001</v>
      </c>
      <c r="AE131" s="756">
        <v>1.508</v>
      </c>
      <c r="AF131" s="756">
        <v>1.536</v>
      </c>
      <c r="AG131" s="756">
        <v>1.5640000000000001</v>
      </c>
      <c r="AH131" s="756">
        <v>1.591</v>
      </c>
    </row>
    <row r="132" spans="1:34" outlineLevel="1" x14ac:dyDescent="0.2"/>
    <row r="133" spans="1:34" outlineLevel="1" x14ac:dyDescent="0.2">
      <c r="A133" s="28" t="s">
        <v>89</v>
      </c>
      <c r="B133" s="110">
        <f t="shared" ref="B133:AH133" si="53">SUM(B79:B83,B92:B94)</f>
        <v>396434.88429999998</v>
      </c>
      <c r="C133" s="110">
        <f t="shared" si="53"/>
        <v>360234.03875273577</v>
      </c>
      <c r="D133" s="110">
        <f t="shared" si="53"/>
        <v>371136.42528065544</v>
      </c>
      <c r="E133" s="110">
        <f t="shared" si="53"/>
        <v>379214.97608248924</v>
      </c>
      <c r="F133" s="110">
        <f t="shared" si="53"/>
        <v>387330.37877280125</v>
      </c>
      <c r="G133" s="110">
        <f t="shared" si="53"/>
        <v>395486.1587179777</v>
      </c>
      <c r="H133" s="110">
        <f t="shared" si="53"/>
        <v>402549.55155222723</v>
      </c>
      <c r="I133" s="110">
        <f t="shared" si="53"/>
        <v>409612.9843864768</v>
      </c>
      <c r="J133" s="110">
        <f t="shared" si="53"/>
        <v>416675.27722072648</v>
      </c>
      <c r="K133" s="110">
        <f t="shared" si="53"/>
        <v>423737.57005497604</v>
      </c>
      <c r="L133" s="110">
        <f t="shared" si="53"/>
        <v>433011.48173222563</v>
      </c>
      <c r="M133" s="110">
        <f t="shared" si="53"/>
        <v>442285.39340947528</v>
      </c>
      <c r="N133" s="110">
        <f t="shared" si="53"/>
        <v>451559.30508672487</v>
      </c>
      <c r="O133" s="110">
        <f t="shared" si="53"/>
        <v>462152.74433809932</v>
      </c>
      <c r="P133" s="110">
        <f t="shared" si="53"/>
        <v>472746.18358947366</v>
      </c>
      <c r="Q133" s="110">
        <f t="shared" si="53"/>
        <v>483339.62284084805</v>
      </c>
      <c r="R133" s="110">
        <f t="shared" si="53"/>
        <v>542233.06209222251</v>
      </c>
      <c r="S133" s="110">
        <f t="shared" si="53"/>
        <v>553876.50134359684</v>
      </c>
      <c r="T133" s="110">
        <f t="shared" si="53"/>
        <v>565519.94059497118</v>
      </c>
      <c r="U133" s="110">
        <f t="shared" si="53"/>
        <v>577163.37984634575</v>
      </c>
      <c r="V133" s="110">
        <f t="shared" si="53"/>
        <v>596306.81909772009</v>
      </c>
      <c r="W133" s="110">
        <f t="shared" si="53"/>
        <v>608100.25834909454</v>
      </c>
      <c r="X133" s="110">
        <f t="shared" si="53"/>
        <v>619893.69760046899</v>
      </c>
      <c r="Y133" s="110">
        <f t="shared" si="53"/>
        <v>631687.13685184321</v>
      </c>
      <c r="Z133" s="110">
        <f t="shared" si="53"/>
        <v>643480.57610321767</v>
      </c>
      <c r="AA133" s="110">
        <f t="shared" si="53"/>
        <v>655274.015354592</v>
      </c>
      <c r="AB133" s="110">
        <f t="shared" si="53"/>
        <v>669279.07344896649</v>
      </c>
      <c r="AC133" s="110">
        <f t="shared" si="53"/>
        <v>717484.13154334086</v>
      </c>
      <c r="AD133" s="110">
        <f t="shared" si="53"/>
        <v>801689.18963771523</v>
      </c>
      <c r="AE133" s="110">
        <f t="shared" si="53"/>
        <v>817494.2477320896</v>
      </c>
      <c r="AF133" s="110">
        <f t="shared" si="53"/>
        <v>835618.83340058895</v>
      </c>
      <c r="AG133" s="110">
        <f t="shared" si="53"/>
        <v>853743.41906908806</v>
      </c>
      <c r="AH133" s="110">
        <f t="shared" si="53"/>
        <v>871868.00473758718</v>
      </c>
    </row>
    <row r="134" spans="1:34" outlineLevel="1" x14ac:dyDescent="0.2">
      <c r="A134" s="28" t="s">
        <v>82</v>
      </c>
      <c r="B134" s="110">
        <f>SUM(Aprēķini!B25:B28)</f>
        <v>170861</v>
      </c>
      <c r="C134" s="110">
        <f>SUM(Aprēķini!C25:C28)</f>
        <v>170861</v>
      </c>
      <c r="D134" s="110">
        <f>SUM(Aprēķini!D25:D28)</f>
        <v>170718</v>
      </c>
      <c r="E134" s="110">
        <f>SUM(Aprēķini!E25:E28)</f>
        <v>170478</v>
      </c>
      <c r="F134" s="110">
        <f>SUM(Aprēķini!F25:F28)</f>
        <v>170478</v>
      </c>
      <c r="G134" s="110">
        <f>SUM(Aprēķini!G25:G28)</f>
        <v>170478</v>
      </c>
      <c r="H134" s="110">
        <f>SUM(Aprēķini!H25:H28)</f>
        <v>170478</v>
      </c>
      <c r="I134" s="110">
        <f>SUM(Aprēķini!I25:I28)</f>
        <v>170478</v>
      </c>
      <c r="J134" s="110">
        <f>SUM(Aprēķini!J25:J28)</f>
        <v>170478</v>
      </c>
      <c r="K134" s="110">
        <f>SUM(Aprēķini!K25:K28)</f>
        <v>170478</v>
      </c>
      <c r="L134" s="110">
        <f>SUM(Aprēķini!L25:L28)</f>
        <v>170478</v>
      </c>
      <c r="M134" s="110">
        <f>SUM(Aprēķini!M25:M28)</f>
        <v>170478</v>
      </c>
      <c r="N134" s="110">
        <f>SUM(Aprēķini!N25:N28)</f>
        <v>169599</v>
      </c>
      <c r="O134" s="110">
        <f>SUM(Aprēķini!O25:O28)</f>
        <v>158037</v>
      </c>
      <c r="P134" s="110">
        <f>SUM(Aprēķini!P25:P28)</f>
        <v>158037</v>
      </c>
      <c r="Q134" s="110">
        <f>SUM(Aprēķini!Q25:Q28)</f>
        <v>158037</v>
      </c>
      <c r="R134" s="110">
        <f>SUM(Aprēķini!R25:R28)</f>
        <v>78632</v>
      </c>
      <c r="S134" s="110">
        <f>SUM(Aprēķini!S25:S28)</f>
        <v>60300</v>
      </c>
      <c r="T134" s="110">
        <f>SUM(Aprēķini!T25:T28)</f>
        <v>60300</v>
      </c>
      <c r="U134" s="110">
        <f>SUM(Aprēķini!U25:U28)</f>
        <v>60300</v>
      </c>
      <c r="V134" s="110">
        <f>SUM(Aprēķini!V25:V28)</f>
        <v>60300</v>
      </c>
      <c r="W134" s="110">
        <f>SUM(Aprēķini!W25:W28)</f>
        <v>60300</v>
      </c>
      <c r="X134" s="110">
        <f>SUM(Aprēķini!X25:X28)</f>
        <v>60300</v>
      </c>
      <c r="Y134" s="110">
        <f>SUM(Aprēķini!Y25:Y28)</f>
        <v>60300</v>
      </c>
      <c r="Z134" s="110">
        <f>SUM(Aprēķini!Z25:Z28)</f>
        <v>60300</v>
      </c>
      <c r="AA134" s="110">
        <f>SUM(Aprēķini!AA25:AA28)</f>
        <v>60300</v>
      </c>
      <c r="AB134" s="110">
        <f>SUM(Aprēķini!AB25:AB28)</f>
        <v>60300</v>
      </c>
      <c r="AC134" s="110">
        <f>SUM(Aprēķini!AC25:AC28)</f>
        <v>60300</v>
      </c>
      <c r="AD134" s="110">
        <f>SUM(Aprēķini!AD25:AD28)</f>
        <v>60300</v>
      </c>
      <c r="AE134" s="110">
        <f>SUM(Aprēķini!AE25:AE28)</f>
        <v>60300</v>
      </c>
      <c r="AF134" s="110">
        <f>SUM(Aprēķini!AF25:AF28)</f>
        <v>60300</v>
      </c>
      <c r="AG134" s="110">
        <f>SUM(Aprēķini!AG25:AG28)</f>
        <v>60300</v>
      </c>
      <c r="AH134" s="110">
        <f>SUM(Aprēķini!AH25:AH28)</f>
        <v>60300</v>
      </c>
    </row>
    <row r="135" spans="1:34" outlineLevel="1" x14ac:dyDescent="0.2">
      <c r="A135" s="28" t="s">
        <v>83</v>
      </c>
      <c r="B135" s="110">
        <f>SUM(Aprēķini!B58+Aprēķini!B64+Aprēķini!B70)</f>
        <v>0</v>
      </c>
      <c r="C135" s="110">
        <f>SUM(Aprēķini!C58+Aprēķini!C64+Aprēķini!C70)*'Datu ievade'!B211</f>
        <v>0</v>
      </c>
      <c r="D135" s="110">
        <f>SUM(Aprēķini!D58+Aprēķini!D64+Aprēķini!D70)*'Datu ievade'!C211</f>
        <v>0</v>
      </c>
      <c r="E135" s="110">
        <f>SUM(Aprēķini!E58+Aprēķini!E64+Aprēķini!E70)*'Datu ievade'!D211</f>
        <v>14340.824259111007</v>
      </c>
      <c r="F135" s="110">
        <f>SUM(Aprēķini!F58+Aprēķini!F64+Aprēķini!F70)*'Datu ievade'!E211</f>
        <v>14340.824259111007</v>
      </c>
      <c r="G135" s="110">
        <f>SUM(Aprēķini!G58+Aprēķini!G64+Aprēķini!G70)*'Datu ievade'!F211</f>
        <v>14340.824259111007</v>
      </c>
      <c r="H135" s="110">
        <f>SUM(Aprēķini!H58+Aprēķini!H64+Aprēķini!H70)*'Datu ievade'!G211</f>
        <v>14340.824259111007</v>
      </c>
      <c r="I135" s="110">
        <f>SUM(Aprēķini!I58+Aprēķini!I64+Aprēķini!I70)*'Datu ievade'!H211</f>
        <v>14340.824259111007</v>
      </c>
      <c r="J135" s="110">
        <f>SUM(Aprēķini!J58+Aprēķini!J64+Aprēķini!J70)*'Datu ievade'!I211</f>
        <v>17926.030323888757</v>
      </c>
      <c r="K135" s="110">
        <f>SUM(Aprēķini!K58+Aprēķini!K64+Aprēķini!K70)*'Datu ievade'!J211</f>
        <v>17926.030323888757</v>
      </c>
      <c r="L135" s="110">
        <f>SUM(Aprēķini!L58+Aprēķini!L64+Aprēķini!L70)*'Datu ievade'!K211</f>
        <v>17926.030323888757</v>
      </c>
      <c r="M135" s="110">
        <f>SUM(Aprēķini!M58+Aprēķini!M64+Aprēķini!M70)*'Datu ievade'!L211</f>
        <v>17926.030323888757</v>
      </c>
      <c r="N135" s="110">
        <f>SUM(Aprēķini!N58+Aprēķini!N64+Aprēķini!N70)*'Datu ievade'!M211</f>
        <v>17926.030323888757</v>
      </c>
      <c r="O135" s="110">
        <f>SUM(Aprēķini!O58+Aprēķini!O64+Aprēķini!O70)*'Datu ievade'!N211</f>
        <v>13366.238823888756</v>
      </c>
      <c r="P135" s="110">
        <f>SUM(Aprēķini!P58+Aprēķini!P64+Aprēķini!P70)*'Datu ievade'!O211</f>
        <v>13366.238823888756</v>
      </c>
      <c r="Q135" s="110">
        <f>SUM(Aprēķini!Q58+Aprēķini!Q64+Aprēķini!Q70)*'Datu ievade'!P211</f>
        <v>16039.486588666507</v>
      </c>
      <c r="R135" s="110">
        <f>SUM(Aprēķini!R58+Aprēķini!R64+Aprēķini!R70)*'Datu ievade'!Q211</f>
        <v>16039.486588666507</v>
      </c>
      <c r="S135" s="110">
        <f>SUM(Aprēķini!S58+Aprēķini!S64+Aprēķini!S70)*'Datu ievade'!R211</f>
        <v>16039.486588666507</v>
      </c>
      <c r="T135" s="110">
        <f>SUM(Aprēķini!T58+Aprēķini!T64+Aprēķini!T70)*'Datu ievade'!S211</f>
        <v>16039.486588666507</v>
      </c>
      <c r="U135" s="110">
        <f>SUM(Aprēķini!U58+Aprēķini!U64+Aprēķini!U70)*'Datu ievade'!T211</f>
        <v>16039.486588666507</v>
      </c>
      <c r="V135" s="110">
        <f>SUM(Aprēķini!V58+Aprēķini!V64+Aprēķini!V70)*'Datu ievade'!U211</f>
        <v>16039.486588666507</v>
      </c>
      <c r="W135" s="110">
        <f>SUM(Aprēķini!W58+Aprēķini!W64+Aprēķini!W70)*'Datu ievade'!V211</f>
        <v>16039.486588666507</v>
      </c>
      <c r="X135" s="110">
        <f>SUM(Aprēķini!X58+Aprēķini!X64+Aprēķini!X70)*'Datu ievade'!W211</f>
        <v>18712.734353444259</v>
      </c>
      <c r="Y135" s="110">
        <f>SUM(Aprēķini!Y58+Aprēķini!Y64+Aprēķini!Y70)*'Datu ievade'!X211</f>
        <v>18712.734353444259</v>
      </c>
      <c r="Z135" s="110">
        <f>SUM(Aprēķini!Z58+Aprēķini!Z64+Aprēķini!Z70)*'Datu ievade'!Y211</f>
        <v>18712.734353444259</v>
      </c>
      <c r="AA135" s="110">
        <f>SUM(Aprēķini!AA58+Aprēķini!AA64+Aprēķini!AA70)*'Datu ievade'!Z211</f>
        <v>18712.734353444259</v>
      </c>
      <c r="AB135" s="110">
        <f>SUM(Aprēķini!AB58+Aprēķini!AB64+Aprēķini!AB70)*'Datu ievade'!AA211</f>
        <v>18712.734353444259</v>
      </c>
      <c r="AC135" s="110">
        <f>SUM(Aprēķini!AC58+Aprēķini!AC64+Aprēķini!AC70)*'Datu ievade'!AB211</f>
        <v>18712.734353444259</v>
      </c>
      <c r="AD135" s="110">
        <f>SUM(Aprēķini!AD58+Aprēķini!AD64+Aprēķini!AD70)*'Datu ievade'!AC211</f>
        <v>18712.734353444259</v>
      </c>
      <c r="AE135" s="110">
        <f>SUM(Aprēķini!AE58+Aprēķini!AE64+Aprēķini!AE70)*'Datu ievade'!AD211</f>
        <v>18712.734353444259</v>
      </c>
      <c r="AF135" s="110">
        <f>SUM(Aprēķini!AF58+Aprēķini!AF64+Aprēķini!AF70)*'Datu ievade'!AE211</f>
        <v>18712.734353444259</v>
      </c>
      <c r="AG135" s="110">
        <f>SUM(Aprēķini!AG58+Aprēķini!AG64+Aprēķini!AG70)*'Datu ievade'!AF211</f>
        <v>18712.734353444259</v>
      </c>
      <c r="AH135" s="110">
        <f>SUM(Aprēķini!AH58+Aprēķini!AH64+Aprēķini!AH70)*'Datu ievade'!AG211</f>
        <v>18712.734353444259</v>
      </c>
    </row>
    <row r="136" spans="1:34" outlineLevel="1" x14ac:dyDescent="0.2">
      <c r="A136" s="28" t="s">
        <v>375</v>
      </c>
      <c r="B136" s="110">
        <f>Aprēķini!B257*$B$144</f>
        <v>1210.5532295325302</v>
      </c>
      <c r="C136" s="110">
        <f>Aprēķini!C257*$B$144</f>
        <v>1210.5532295325302</v>
      </c>
      <c r="D136" s="110">
        <f>Aprēķini!D257*$B$144</f>
        <v>1656.1732948751585</v>
      </c>
      <c r="E136" s="110">
        <f>Aprēķini!E257*$B$144</f>
        <v>2822.3990619284032</v>
      </c>
      <c r="F136" s="110">
        <f>Aprēķini!F257*$B$144</f>
        <v>2783.5248696932949</v>
      </c>
      <c r="G136" s="110">
        <f>Aprēķini!G257*$B$144</f>
        <v>2744.6506774581867</v>
      </c>
      <c r="H136" s="110">
        <f>Aprēķini!H257*$B$144</f>
        <v>2705.776485223078</v>
      </c>
      <c r="I136" s="110">
        <f>Aprēķini!I257*$B$144</f>
        <v>2666.9022929879698</v>
      </c>
      <c r="J136" s="110">
        <f>Aprēķini!J257*$B$144</f>
        <v>2628.028100752862</v>
      </c>
      <c r="K136" s="110">
        <f>Aprēķini!K257*$B$144</f>
        <v>2589.1539085177533</v>
      </c>
      <c r="L136" s="110">
        <f>Aprēķini!L257*$B$144</f>
        <v>2550.279716282645</v>
      </c>
      <c r="M136" s="110">
        <f>Aprēķini!M257*$B$144</f>
        <v>2511.4055240475368</v>
      </c>
      <c r="N136" s="110">
        <f>Aprēķini!N257*$B$144</f>
        <v>2472.531331812429</v>
      </c>
      <c r="O136" s="110">
        <f>Aprēķini!O257*$B$144</f>
        <v>2433.6571395773203</v>
      </c>
      <c r="P136" s="110">
        <f>Aprēķini!P257*$B$144</f>
        <v>2394.7829473422121</v>
      </c>
      <c r="Q136" s="110">
        <f>Aprēķini!Q257*$B$144</f>
        <v>2355.9087551071038</v>
      </c>
      <c r="R136" s="110">
        <f>Aprēķini!R257*$B$144</f>
        <v>2317.0345628719951</v>
      </c>
      <c r="S136" s="110">
        <f>Aprēķini!S257*$B$144</f>
        <v>2278.1603706368874</v>
      </c>
      <c r="T136" s="110">
        <f>Aprēķini!T257*$B$144</f>
        <v>2239.2861784017791</v>
      </c>
      <c r="U136" s="110">
        <f>Aprēķini!U257*$B$144</f>
        <v>2200.4119861666709</v>
      </c>
      <c r="V136" s="110">
        <f>Aprēķini!V257*$B$144</f>
        <v>2161.5377939315622</v>
      </c>
      <c r="W136" s="110">
        <f>Aprēķini!W257*$B$144</f>
        <v>2122.663601696454</v>
      </c>
      <c r="X136" s="110">
        <f>Aprēķini!X257*$B$144</f>
        <v>2083.7894094613462</v>
      </c>
      <c r="Y136" s="110">
        <f>Aprēķini!Y257*$B$144</f>
        <v>2044.9152172262375</v>
      </c>
      <c r="Z136" s="110">
        <f>Aprēķini!Z257*$B$144</f>
        <v>2006.0410249911292</v>
      </c>
      <c r="AA136" s="110">
        <f>Aprēķini!AA257*$B$144</f>
        <v>1967.1668327560212</v>
      </c>
      <c r="AB136" s="110">
        <f>Aprēķini!AB257*$B$144</f>
        <v>1928.2926405209128</v>
      </c>
      <c r="AC136" s="110">
        <f>Aprēķini!AC257*$B$144</f>
        <v>1889.4184482858047</v>
      </c>
      <c r="AD136" s="110">
        <f>Aprēķini!AD257*$B$144</f>
        <v>1850.5442560506963</v>
      </c>
      <c r="AE136" s="110">
        <f>Aprēķini!AE257*$B$144</f>
        <v>1811.670063815588</v>
      </c>
      <c r="AF136" s="110">
        <f>Aprēķini!AF257*$B$144</f>
        <v>1772.7958715804798</v>
      </c>
      <c r="AG136" s="110">
        <f>Aprēķini!AG257*$B$144</f>
        <v>1733.9216793453713</v>
      </c>
      <c r="AH136" s="110">
        <f>Aprēķini!AH257*$B$144</f>
        <v>1695.0474871102633</v>
      </c>
    </row>
    <row r="137" spans="1:34" outlineLevel="1" x14ac:dyDescent="0.2">
      <c r="A137" s="28" t="s">
        <v>84</v>
      </c>
      <c r="B137" s="110">
        <f>Aprēķini!B258*$B$144</f>
        <v>0</v>
      </c>
      <c r="C137" s="110">
        <f>Aprēķini!C258*$B$144</f>
        <v>0</v>
      </c>
      <c r="D137" s="110">
        <f>Aprēķini!D258*$B$144</f>
        <v>0</v>
      </c>
      <c r="E137" s="110">
        <f>Aprēķini!E258*$B$144</f>
        <v>7774.8384470216315</v>
      </c>
      <c r="F137" s="110">
        <f>Aprēķini!F258*$B$144</f>
        <v>7774.8384470216315</v>
      </c>
      <c r="G137" s="110">
        <f>Aprēķini!G258*$B$144</f>
        <v>7774.8384470216315</v>
      </c>
      <c r="H137" s="110">
        <f>Aprēķini!H258*$B$144</f>
        <v>7774.8384470216315</v>
      </c>
      <c r="I137" s="110">
        <f>Aprēķini!I258*$B$144</f>
        <v>7774.8384470216315</v>
      </c>
      <c r="J137" s="110">
        <f>Aprēķini!J258*$B$144</f>
        <v>7774.8384470216315</v>
      </c>
      <c r="K137" s="110">
        <f>Aprēķini!K258*$B$144</f>
        <v>7774.8384470216315</v>
      </c>
      <c r="L137" s="110">
        <f>Aprēķini!L258*$B$144</f>
        <v>7774.8384470216315</v>
      </c>
      <c r="M137" s="110">
        <f>Aprēķini!M258*$B$144</f>
        <v>7774.8384470216315</v>
      </c>
      <c r="N137" s="110">
        <f>Aprēķini!N258*$B$144</f>
        <v>7774.8384470216315</v>
      </c>
      <c r="O137" s="110">
        <f>Aprēķini!O258*$B$144</f>
        <v>7774.8384470216315</v>
      </c>
      <c r="P137" s="110">
        <f>Aprēķini!P258*$B$144</f>
        <v>7774.8384470216315</v>
      </c>
      <c r="Q137" s="110">
        <f>Aprēķini!Q258*$B$144</f>
        <v>7774.8384470216315</v>
      </c>
      <c r="R137" s="110">
        <f>Aprēķini!R258*$B$144</f>
        <v>7774.8384470216315</v>
      </c>
      <c r="S137" s="110">
        <f>Aprēķini!S258*$B$144</f>
        <v>7774.8384470216315</v>
      </c>
      <c r="T137" s="110">
        <f>Aprēķini!T258*$B$144</f>
        <v>7774.8384470216315</v>
      </c>
      <c r="U137" s="110">
        <f>Aprēķini!U258*$B$144</f>
        <v>7774.8384470216315</v>
      </c>
      <c r="V137" s="110">
        <f>Aprēķini!V258*$B$144</f>
        <v>7774.8384470216315</v>
      </c>
      <c r="W137" s="110">
        <f>Aprēķini!W258*$B$144</f>
        <v>7774.8384470216315</v>
      </c>
      <c r="X137" s="110">
        <f>Aprēķini!X258*$B$144</f>
        <v>7774.8384470216315</v>
      </c>
      <c r="Y137" s="110">
        <f>Aprēķini!Y258*$B$144</f>
        <v>7774.8384470216315</v>
      </c>
      <c r="Z137" s="110">
        <f>Aprēķini!Z258*$B$144</f>
        <v>7774.8384470216315</v>
      </c>
      <c r="AA137" s="110">
        <f>Aprēķini!AA258*$B$144</f>
        <v>7774.8384470216315</v>
      </c>
      <c r="AB137" s="110">
        <f>Aprēķini!AB258*$B$144</f>
        <v>7774.8384470216315</v>
      </c>
      <c r="AC137" s="110">
        <f>Aprēķini!AC258*$B$144</f>
        <v>7774.8384470216315</v>
      </c>
      <c r="AD137" s="110">
        <f>Aprēķini!AD258*$B$144</f>
        <v>7774.8384470216315</v>
      </c>
      <c r="AE137" s="110">
        <f>Aprēķini!AE258*$B$144</f>
        <v>7774.8384470216315</v>
      </c>
      <c r="AF137" s="110">
        <f>Aprēķini!AF258*$B$144</f>
        <v>7774.8384470216315</v>
      </c>
      <c r="AG137" s="110">
        <f>Aprēķini!AG258*$B$144</f>
        <v>7774.8384470216315</v>
      </c>
      <c r="AH137" s="110">
        <f>Aprēķini!AH258*$B$144</f>
        <v>7774.8384470216315</v>
      </c>
    </row>
    <row r="138" spans="1:34" outlineLevel="1" x14ac:dyDescent="0.2">
      <c r="B138" s="110"/>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c r="Z138" s="110"/>
      <c r="AA138" s="110"/>
      <c r="AB138" s="110"/>
      <c r="AC138" s="110"/>
      <c r="AD138" s="110"/>
      <c r="AE138" s="110"/>
      <c r="AF138" s="110"/>
      <c r="AG138" s="110"/>
      <c r="AH138" s="110"/>
    </row>
    <row r="139" spans="1:34" ht="14.25" outlineLevel="1" x14ac:dyDescent="0.2">
      <c r="A139" s="421" t="s">
        <v>70</v>
      </c>
      <c r="B139" s="110">
        <f>'Datu ievade'!B86*'Datu ievade'!B87*365/1000</f>
        <v>228365</v>
      </c>
      <c r="C139" s="110">
        <f>'Datu ievade'!B110</f>
        <v>230068.40154920149</v>
      </c>
      <c r="D139" s="110">
        <f>'Datu ievade'!C110</f>
        <v>232645.34235440372</v>
      </c>
      <c r="E139" s="110">
        <f>'Datu ievade'!D110</f>
        <v>237864.73940900833</v>
      </c>
      <c r="F139" s="110">
        <f>'Datu ievade'!E110</f>
        <v>243084.13646361287</v>
      </c>
      <c r="G139" s="110">
        <f>'Datu ievade'!F110</f>
        <v>248325.37199961746</v>
      </c>
      <c r="H139" s="110">
        <f>'Datu ievade'!G110</f>
        <v>248325.37199961746</v>
      </c>
      <c r="I139" s="110">
        <f>'Datu ievade'!H110</f>
        <v>248325.37199961746</v>
      </c>
      <c r="J139" s="110">
        <f>I139</f>
        <v>248325.37199961746</v>
      </c>
      <c r="K139" s="110">
        <f t="shared" ref="K139:AH141" si="54">J139</f>
        <v>248325.37199961746</v>
      </c>
      <c r="L139" s="110">
        <f t="shared" si="54"/>
        <v>248325.37199961746</v>
      </c>
      <c r="M139" s="110">
        <f t="shared" si="54"/>
        <v>248325.37199961746</v>
      </c>
      <c r="N139" s="110">
        <f t="shared" si="54"/>
        <v>248325.37199961746</v>
      </c>
      <c r="O139" s="110">
        <f t="shared" si="54"/>
        <v>248325.37199961746</v>
      </c>
      <c r="P139" s="110">
        <f t="shared" si="54"/>
        <v>248325.37199961746</v>
      </c>
      <c r="Q139" s="110">
        <f t="shared" si="54"/>
        <v>248325.37199961746</v>
      </c>
      <c r="R139" s="110">
        <f t="shared" si="54"/>
        <v>248325.37199961746</v>
      </c>
      <c r="S139" s="110">
        <f t="shared" si="54"/>
        <v>248325.37199961746</v>
      </c>
      <c r="T139" s="110">
        <f t="shared" si="54"/>
        <v>248325.37199961746</v>
      </c>
      <c r="U139" s="110">
        <f t="shared" si="54"/>
        <v>248325.37199961746</v>
      </c>
      <c r="V139" s="110">
        <f t="shared" si="54"/>
        <v>248325.37199961746</v>
      </c>
      <c r="W139" s="110">
        <f t="shared" si="54"/>
        <v>248325.37199961746</v>
      </c>
      <c r="X139" s="110">
        <f t="shared" si="54"/>
        <v>248325.37199961746</v>
      </c>
      <c r="Y139" s="110">
        <f t="shared" si="54"/>
        <v>248325.37199961746</v>
      </c>
      <c r="Z139" s="110">
        <f t="shared" si="54"/>
        <v>248325.37199961746</v>
      </c>
      <c r="AA139" s="110">
        <f t="shared" si="54"/>
        <v>248325.37199961746</v>
      </c>
      <c r="AB139" s="110">
        <f t="shared" si="54"/>
        <v>248325.37199961746</v>
      </c>
      <c r="AC139" s="110">
        <f t="shared" si="54"/>
        <v>248325.37199961746</v>
      </c>
      <c r="AD139" s="110">
        <f t="shared" si="54"/>
        <v>248325.37199961746</v>
      </c>
      <c r="AE139" s="110">
        <f t="shared" si="54"/>
        <v>248325.37199961746</v>
      </c>
      <c r="AF139" s="110">
        <f t="shared" si="54"/>
        <v>248325.37199961746</v>
      </c>
      <c r="AG139" s="110">
        <f t="shared" si="54"/>
        <v>248325.37199961746</v>
      </c>
      <c r="AH139" s="110">
        <f t="shared" si="54"/>
        <v>248325.37199961746</v>
      </c>
    </row>
    <row r="140" spans="1:34" ht="14.25" outlineLevel="1" x14ac:dyDescent="0.2">
      <c r="A140" s="421" t="s">
        <v>71</v>
      </c>
      <c r="B140" s="110">
        <f>'Datu ievade'!B88</f>
        <v>25184</v>
      </c>
      <c r="C140" s="110">
        <f>'Datu ievade'!B111</f>
        <v>25184</v>
      </c>
      <c r="D140" s="110">
        <f>'Datu ievade'!C111</f>
        <v>25184</v>
      </c>
      <c r="E140" s="110">
        <f>'Datu ievade'!D111</f>
        <v>25184</v>
      </c>
      <c r="F140" s="110">
        <f>'Datu ievade'!E111</f>
        <v>25184</v>
      </c>
      <c r="G140" s="110">
        <f>'Datu ievade'!F111</f>
        <v>25184</v>
      </c>
      <c r="H140" s="110">
        <f>'Datu ievade'!G111</f>
        <v>25184</v>
      </c>
      <c r="I140" s="110">
        <f>'Datu ievade'!H111</f>
        <v>25184</v>
      </c>
      <c r="J140" s="110">
        <f t="shared" ref="J140:Y141" si="55">I140</f>
        <v>25184</v>
      </c>
      <c r="K140" s="110">
        <f t="shared" si="55"/>
        <v>25184</v>
      </c>
      <c r="L140" s="110">
        <f t="shared" si="55"/>
        <v>25184</v>
      </c>
      <c r="M140" s="110">
        <f t="shared" si="55"/>
        <v>25184</v>
      </c>
      <c r="N140" s="110">
        <f t="shared" si="55"/>
        <v>25184</v>
      </c>
      <c r="O140" s="110">
        <f t="shared" si="55"/>
        <v>25184</v>
      </c>
      <c r="P140" s="110">
        <f t="shared" si="55"/>
        <v>25184</v>
      </c>
      <c r="Q140" s="110">
        <f t="shared" si="55"/>
        <v>25184</v>
      </c>
      <c r="R140" s="110">
        <f t="shared" si="55"/>
        <v>25184</v>
      </c>
      <c r="S140" s="110">
        <f t="shared" si="55"/>
        <v>25184</v>
      </c>
      <c r="T140" s="110">
        <f t="shared" si="55"/>
        <v>25184</v>
      </c>
      <c r="U140" s="110">
        <f t="shared" si="55"/>
        <v>25184</v>
      </c>
      <c r="V140" s="110">
        <f t="shared" si="55"/>
        <v>25184</v>
      </c>
      <c r="W140" s="110">
        <f t="shared" si="55"/>
        <v>25184</v>
      </c>
      <c r="X140" s="110">
        <f t="shared" si="55"/>
        <v>25184</v>
      </c>
      <c r="Y140" s="110">
        <f t="shared" si="55"/>
        <v>25184</v>
      </c>
      <c r="Z140" s="110">
        <f t="shared" si="54"/>
        <v>25184</v>
      </c>
      <c r="AA140" s="110">
        <f t="shared" si="54"/>
        <v>25184</v>
      </c>
      <c r="AB140" s="110">
        <f t="shared" si="54"/>
        <v>25184</v>
      </c>
      <c r="AC140" s="110">
        <f t="shared" si="54"/>
        <v>25184</v>
      </c>
      <c r="AD140" s="110">
        <f t="shared" si="54"/>
        <v>25184</v>
      </c>
      <c r="AE140" s="110">
        <f t="shared" si="54"/>
        <v>25184</v>
      </c>
      <c r="AF140" s="110">
        <f t="shared" si="54"/>
        <v>25184</v>
      </c>
      <c r="AG140" s="110">
        <f t="shared" si="54"/>
        <v>25184</v>
      </c>
      <c r="AH140" s="110">
        <f t="shared" si="54"/>
        <v>25184</v>
      </c>
    </row>
    <row r="141" spans="1:34" ht="14.25" outlineLevel="1" x14ac:dyDescent="0.2">
      <c r="A141" s="421" t="s">
        <v>72</v>
      </c>
      <c r="B141" s="110">
        <f>'Datu ievade'!B89</f>
        <v>73343</v>
      </c>
      <c r="C141" s="110">
        <f>'Datu ievade'!B112</f>
        <v>73343</v>
      </c>
      <c r="D141" s="110">
        <f>'Datu ievade'!C112</f>
        <v>73343</v>
      </c>
      <c r="E141" s="110">
        <f>'Datu ievade'!D112</f>
        <v>73343</v>
      </c>
      <c r="F141" s="110">
        <f>'Datu ievade'!E112</f>
        <v>73343</v>
      </c>
      <c r="G141" s="110">
        <f>'Datu ievade'!F112</f>
        <v>73343</v>
      </c>
      <c r="H141" s="110">
        <f>'Datu ievade'!G112</f>
        <v>73343</v>
      </c>
      <c r="I141" s="110">
        <f>'Datu ievade'!H112</f>
        <v>73343</v>
      </c>
      <c r="J141" s="110">
        <f t="shared" si="55"/>
        <v>73343</v>
      </c>
      <c r="K141" s="110">
        <f t="shared" si="54"/>
        <v>73343</v>
      </c>
      <c r="L141" s="110">
        <f t="shared" si="54"/>
        <v>73343</v>
      </c>
      <c r="M141" s="110">
        <f t="shared" si="54"/>
        <v>73343</v>
      </c>
      <c r="N141" s="110">
        <f t="shared" si="54"/>
        <v>73343</v>
      </c>
      <c r="O141" s="110">
        <f t="shared" si="54"/>
        <v>73343</v>
      </c>
      <c r="P141" s="110">
        <f t="shared" si="54"/>
        <v>73343</v>
      </c>
      <c r="Q141" s="110">
        <f t="shared" si="54"/>
        <v>73343</v>
      </c>
      <c r="R141" s="110">
        <f t="shared" si="54"/>
        <v>73343</v>
      </c>
      <c r="S141" s="110">
        <f t="shared" si="54"/>
        <v>73343</v>
      </c>
      <c r="T141" s="110">
        <f t="shared" si="54"/>
        <v>73343</v>
      </c>
      <c r="U141" s="110">
        <f t="shared" si="54"/>
        <v>73343</v>
      </c>
      <c r="V141" s="110">
        <f t="shared" si="54"/>
        <v>73343</v>
      </c>
      <c r="W141" s="110">
        <f t="shared" si="54"/>
        <v>73343</v>
      </c>
      <c r="X141" s="110">
        <f t="shared" si="54"/>
        <v>73343</v>
      </c>
      <c r="Y141" s="110">
        <f t="shared" si="54"/>
        <v>73343</v>
      </c>
      <c r="Z141" s="110">
        <f t="shared" si="54"/>
        <v>73343</v>
      </c>
      <c r="AA141" s="110">
        <f t="shared" si="54"/>
        <v>73343</v>
      </c>
      <c r="AB141" s="110">
        <f t="shared" si="54"/>
        <v>73343</v>
      </c>
      <c r="AC141" s="110">
        <f t="shared" si="54"/>
        <v>73343</v>
      </c>
      <c r="AD141" s="110">
        <f t="shared" si="54"/>
        <v>73343</v>
      </c>
      <c r="AE141" s="110">
        <f t="shared" si="54"/>
        <v>73343</v>
      </c>
      <c r="AF141" s="110">
        <f t="shared" si="54"/>
        <v>73343</v>
      </c>
      <c r="AG141" s="110">
        <f t="shared" si="54"/>
        <v>73343</v>
      </c>
      <c r="AH141" s="110">
        <f t="shared" si="54"/>
        <v>73343</v>
      </c>
    </row>
    <row r="142" spans="1:34" ht="14.25" outlineLevel="1" x14ac:dyDescent="0.2">
      <c r="A142" s="307" t="s">
        <v>73</v>
      </c>
      <c r="B142" s="110">
        <f>SUM(B139:B141)</f>
        <v>326892</v>
      </c>
      <c r="C142" s="110">
        <f>SUM(C139:C141)</f>
        <v>328595.40154920146</v>
      </c>
      <c r="D142" s="110">
        <f>SUM(D139:D141)</f>
        <v>331172.34235440369</v>
      </c>
      <c r="E142" s="110">
        <f t="shared" ref="E142:AH142" si="56">SUM(E139:E141)</f>
        <v>336391.7394090083</v>
      </c>
      <c r="F142" s="110">
        <f t="shared" si="56"/>
        <v>341611.1364636129</v>
      </c>
      <c r="G142" s="110">
        <f t="shared" si="56"/>
        <v>346852.37199961743</v>
      </c>
      <c r="H142" s="110">
        <f t="shared" si="56"/>
        <v>346852.37199961743</v>
      </c>
      <c r="I142" s="110">
        <f t="shared" si="56"/>
        <v>346852.37199961743</v>
      </c>
      <c r="J142" s="110">
        <f t="shared" si="56"/>
        <v>346852.37199961743</v>
      </c>
      <c r="K142" s="110">
        <f t="shared" si="56"/>
        <v>346852.37199961743</v>
      </c>
      <c r="L142" s="110">
        <f t="shared" si="56"/>
        <v>346852.37199961743</v>
      </c>
      <c r="M142" s="110">
        <f t="shared" si="56"/>
        <v>346852.37199961743</v>
      </c>
      <c r="N142" s="110">
        <f t="shared" si="56"/>
        <v>346852.37199961743</v>
      </c>
      <c r="O142" s="110">
        <f t="shared" si="56"/>
        <v>346852.37199961743</v>
      </c>
      <c r="P142" s="110">
        <f t="shared" si="56"/>
        <v>346852.37199961743</v>
      </c>
      <c r="Q142" s="110">
        <f t="shared" si="56"/>
        <v>346852.37199961743</v>
      </c>
      <c r="R142" s="110">
        <f t="shared" si="56"/>
        <v>346852.37199961743</v>
      </c>
      <c r="S142" s="110">
        <f t="shared" si="56"/>
        <v>346852.37199961743</v>
      </c>
      <c r="T142" s="110">
        <f t="shared" si="56"/>
        <v>346852.37199961743</v>
      </c>
      <c r="U142" s="110">
        <f t="shared" si="56"/>
        <v>346852.37199961743</v>
      </c>
      <c r="V142" s="110">
        <f t="shared" si="56"/>
        <v>346852.37199961743</v>
      </c>
      <c r="W142" s="110">
        <f t="shared" si="56"/>
        <v>346852.37199961743</v>
      </c>
      <c r="X142" s="110">
        <f t="shared" si="56"/>
        <v>346852.37199961743</v>
      </c>
      <c r="Y142" s="110">
        <f t="shared" si="56"/>
        <v>346852.37199961743</v>
      </c>
      <c r="Z142" s="110">
        <f t="shared" si="56"/>
        <v>346852.37199961743</v>
      </c>
      <c r="AA142" s="110">
        <f t="shared" si="56"/>
        <v>346852.37199961743</v>
      </c>
      <c r="AB142" s="110">
        <f t="shared" si="56"/>
        <v>346852.37199961743</v>
      </c>
      <c r="AC142" s="110">
        <f t="shared" si="56"/>
        <v>346852.37199961743</v>
      </c>
      <c r="AD142" s="110">
        <f t="shared" si="56"/>
        <v>346852.37199961743</v>
      </c>
      <c r="AE142" s="110">
        <f t="shared" si="56"/>
        <v>346852.37199961743</v>
      </c>
      <c r="AF142" s="110">
        <f t="shared" si="56"/>
        <v>346852.37199961743</v>
      </c>
      <c r="AG142" s="110">
        <f t="shared" si="56"/>
        <v>346852.37199961743</v>
      </c>
      <c r="AH142" s="110">
        <f t="shared" si="56"/>
        <v>346852.37199961743</v>
      </c>
    </row>
    <row r="143" spans="1:34" outlineLevel="1" x14ac:dyDescent="0.2">
      <c r="B143" s="110"/>
      <c r="C143" s="110"/>
      <c r="D143" s="110"/>
      <c r="E143" s="110"/>
      <c r="F143" s="110"/>
      <c r="G143" s="110"/>
      <c r="H143" s="110"/>
      <c r="I143" s="110"/>
      <c r="J143" s="110"/>
      <c r="K143" s="110"/>
      <c r="L143" s="110"/>
      <c r="M143" s="110"/>
      <c r="N143" s="110"/>
      <c r="O143" s="110"/>
      <c r="P143" s="110"/>
      <c r="Q143" s="110"/>
      <c r="R143" s="110"/>
      <c r="S143" s="110"/>
      <c r="T143" s="110"/>
      <c r="U143" s="110"/>
      <c r="V143" s="110"/>
      <c r="W143" s="110"/>
      <c r="X143" s="110"/>
      <c r="Y143" s="110"/>
      <c r="Z143" s="110"/>
      <c r="AA143" s="110"/>
      <c r="AB143" s="110"/>
      <c r="AC143" s="110"/>
      <c r="AD143" s="110"/>
      <c r="AE143" s="110"/>
      <c r="AF143" s="110"/>
      <c r="AG143" s="110"/>
      <c r="AH143" s="110"/>
    </row>
    <row r="144" spans="1:34" outlineLevel="1" x14ac:dyDescent="0.2">
      <c r="A144" s="28" t="s">
        <v>90</v>
      </c>
      <c r="B144" s="306">
        <f>1-B125</f>
        <v>0.97422245058083012</v>
      </c>
    </row>
    <row r="145" spans="1:40" outlineLevel="1" x14ac:dyDescent="0.2">
      <c r="A145" s="28" t="s">
        <v>86</v>
      </c>
      <c r="B145" s="305">
        <f>B126</f>
        <v>0.62424416999999999</v>
      </c>
    </row>
    <row r="146" spans="1:40" outlineLevel="1" x14ac:dyDescent="0.2">
      <c r="A146" s="28" t="s">
        <v>63</v>
      </c>
      <c r="B146" s="305">
        <f>B127</f>
        <v>0.06</v>
      </c>
      <c r="D146" s="528"/>
      <c r="E146" s="528"/>
      <c r="F146" s="528"/>
      <c r="G146" s="528"/>
      <c r="H146" s="528"/>
      <c r="I146" s="528"/>
      <c r="J146" s="528"/>
      <c r="K146" s="528"/>
      <c r="L146" s="528"/>
      <c r="M146" s="528"/>
      <c r="N146" s="528"/>
      <c r="O146" s="528"/>
      <c r="P146" s="528"/>
      <c r="Q146" s="528"/>
      <c r="R146" s="528"/>
      <c r="S146" s="528"/>
      <c r="T146" s="528"/>
      <c r="U146" s="528"/>
      <c r="V146" s="528"/>
      <c r="W146" s="528"/>
      <c r="X146" s="528"/>
      <c r="Y146" s="528"/>
      <c r="Z146" s="528"/>
      <c r="AA146" s="528"/>
      <c r="AB146" s="528"/>
      <c r="AC146" s="528"/>
      <c r="AD146" s="528"/>
      <c r="AE146" s="528"/>
      <c r="AF146" s="528"/>
      <c r="AG146" s="528"/>
      <c r="AH146" s="528"/>
    </row>
    <row r="147" spans="1:40" outlineLevel="1" x14ac:dyDescent="0.2">
      <c r="B147" s="536"/>
      <c r="C147" s="537"/>
      <c r="D147" s="528"/>
      <c r="E147" s="528"/>
      <c r="F147" s="528"/>
      <c r="G147" s="528"/>
      <c r="H147" s="528"/>
      <c r="I147" s="528"/>
      <c r="J147" s="528"/>
      <c r="K147" s="528"/>
      <c r="L147" s="528"/>
      <c r="M147" s="528"/>
      <c r="N147" s="528"/>
      <c r="O147" s="528"/>
      <c r="P147" s="528"/>
      <c r="Q147" s="528"/>
      <c r="R147" s="528"/>
      <c r="S147" s="528"/>
      <c r="T147" s="528"/>
      <c r="U147" s="528"/>
      <c r="V147" s="528"/>
      <c r="W147" s="528"/>
      <c r="X147" s="528"/>
      <c r="Y147" s="528"/>
      <c r="Z147" s="528"/>
      <c r="AA147" s="528"/>
      <c r="AB147" s="528"/>
      <c r="AC147" s="528"/>
      <c r="AD147" s="528"/>
      <c r="AE147" s="528"/>
      <c r="AF147" s="528"/>
      <c r="AG147" s="528"/>
      <c r="AH147" s="528"/>
      <c r="AI147" s="537"/>
      <c r="AJ147" s="537"/>
      <c r="AK147" s="537"/>
      <c r="AL147" s="537"/>
      <c r="AM147" s="537"/>
      <c r="AN147" s="537"/>
    </row>
    <row r="148" spans="1:40" ht="14.25" outlineLevel="1" x14ac:dyDescent="0.2">
      <c r="A148" s="533" t="s">
        <v>87</v>
      </c>
      <c r="B148" s="535">
        <f>B65</f>
        <v>1.5</v>
      </c>
      <c r="C148" s="535">
        <f>C65</f>
        <v>1.5</v>
      </c>
      <c r="D148" s="535">
        <f>ROUND((1+$B$146)*(D133+D134+D135+D136+IF('Datu ievade'!$B$215='Datu ievade'!AI9,D137*(1-$B$145)*$B$144,0))/D142,3)</f>
        <v>1.74</v>
      </c>
      <c r="E148" s="535">
        <f>ROUND((1+$B$146)*(E133+E134+E135+E136+IF('Datu ievade'!$B$215='Datu ievade'!AJ9,E137*(1-$B$145)*$B$144,0))/E142,3)</f>
        <v>1.786</v>
      </c>
      <c r="F148" s="535">
        <f>ROUND((1+$B$146)*(F133+F134+F135+F136+IF('Datu ievade'!$B$215='Datu ievade'!AK9,F137*(1-$B$145)*$B$144,0))/F142,3)</f>
        <v>1.784</v>
      </c>
      <c r="G148" s="535">
        <f>ROUND((1+$B$146)*(G133+G134+G135+G136+IF('Datu ievade'!$B$215='Datu ievade'!AL9,G137*(1-$B$145)*$B$144,0))/G142,3)</f>
        <v>1.782</v>
      </c>
      <c r="H148" s="535">
        <f>ROUND((1+$B$146)*(H133+H134+H135+H136+IF('Datu ievade'!$B$215='Datu ievade'!AM9,H137*(1-$B$145)*$B$144,0))/H142,3)</f>
        <v>1.8029999999999999</v>
      </c>
      <c r="I148" s="535">
        <f>ROUND((1+$B$146)*(I133+I134+I135+I136+IF('Datu ievade'!$B$215='Datu ievade'!AN9,I137*(1-$B$145)*$B$144,0))/I142,3)</f>
        <v>1.825</v>
      </c>
      <c r="J148" s="535">
        <f>ROUND((1+$B$146)*(J133+J134+J135+J136+IF('Datu ievade'!$B$215='Datu ievade'!AO9,J137*(1-$B$145)*$B$144,0))/J142,3)</f>
        <v>1.857</v>
      </c>
      <c r="K148" s="535">
        <f>ROUND((1+$B$146)*(K133+K134+K135+K136+IF('Datu ievade'!$B$215='Datu ievade'!AP9,K137*(1-$B$145)*$B$144,0))/K142,3)</f>
        <v>1.879</v>
      </c>
      <c r="L148" s="535">
        <f>ROUND((1+$B$146)*(L133+L134+L135+L136+IF('Datu ievade'!$B$215='Datu ievade'!AQ9,L137*(1-$B$145)*$B$144,0))/L142,3)</f>
        <v>1.907</v>
      </c>
      <c r="M148" s="535">
        <f>ROUND((1+$B$146)*(M133+M134+M135+M136+IF('Datu ievade'!$B$215='Datu ievade'!AR9,M137*(1-$B$145)*$B$144,0))/M142,3)</f>
        <v>1.9350000000000001</v>
      </c>
      <c r="N148" s="535">
        <f>ROUND((1+$B$146)*(N133+N134+N135+N136+IF('Datu ievade'!$B$215='Datu ievade'!AS9,N137*(1-$B$145)*$B$144,0))/N142,3)</f>
        <v>1.9610000000000001</v>
      </c>
      <c r="O148" s="535">
        <f>ROUND((1+$B$146)*(O133+O134+O135+O136+IF('Datu ievade'!$B$215='Datu ievade'!AT9,O137*(1-$B$145)*$B$144,0))/O142,3)</f>
        <v>1.944</v>
      </c>
      <c r="P148" s="535">
        <f>ROUND((1+$B$146)*(P133+P134+P135+P136+IF('Datu ievade'!$B$215='Datu ievade'!AU9,P137*(1-$B$145)*$B$144,0))/P142,3)</f>
        <v>1.976</v>
      </c>
      <c r="Q148" s="535">
        <f>ROUND((1+$B$146)*(Q133+Q134+Q135+Q136+IF('Datu ievade'!$B$215='Datu ievade'!AV9,Q137*(1-$B$145)*$B$144,0))/Q142,3)</f>
        <v>2.016</v>
      </c>
      <c r="R148" s="535">
        <f>ROUND((1+$B$146)*(R133+R134+R135+R136+IF('Datu ievade'!$B$215='Datu ievade'!AW9,R137*(1-$B$145)*$B$144,0))/R142,3)</f>
        <v>1.9530000000000001</v>
      </c>
      <c r="S148" s="535">
        <f>ROUND((1+$B$146)*(S133+S134+S135+S136+IF('Datu ievade'!$B$215='Datu ievade'!AX9,S137*(1-$B$145)*$B$144,0))/S142,3)</f>
        <v>1.9330000000000001</v>
      </c>
      <c r="T148" s="535">
        <f>ROUND((1+$B$146)*(T133+T134+T135+T136+IF('Datu ievade'!$B$215='Datu ievade'!AY9,T137*(1-$B$145)*$B$144,0))/T142,3)</f>
        <v>1.968</v>
      </c>
      <c r="U148" s="535">
        <f>ROUND((1+$B$146)*(U133+U134+U135+U136+IF('Datu ievade'!$B$215='Datu ievade'!AZ9,U137*(1-$B$145)*$B$144,0))/U142,3)</f>
        <v>2.004</v>
      </c>
      <c r="V148" s="535">
        <f>ROUND((1+$B$146)*(V133+V134+V135+V136+IF('Datu ievade'!$B$215='Datu ievade'!BA9,V137*(1-$B$145)*$B$144,0))/V142,3)</f>
        <v>2.0619999999999998</v>
      </c>
      <c r="W148" s="535">
        <f>ROUND((1+$B$146)*(W133+W134+W135+W136+IF('Datu ievade'!$B$215='Datu ievade'!BB9,W137*(1-$B$145)*$B$144,0))/W142,3)</f>
        <v>2.0979999999999999</v>
      </c>
      <c r="X148" s="535">
        <f>ROUND((1+$B$146)*(X133+X134+X135+X136+IF('Datu ievade'!$B$215='Datu ievade'!BC9,X137*(1-$B$145)*$B$144,0))/X142,3)</f>
        <v>2.1419999999999999</v>
      </c>
      <c r="Y148" s="535">
        <f>ROUND((1+$B$146)*(Y133+Y134+Y135+Y136+IF('Datu ievade'!$B$215='Datu ievade'!BD9,Y137*(1-$B$145)*$B$144,0))/Y142,3)</f>
        <v>2.1779999999999999</v>
      </c>
      <c r="Z148" s="535">
        <f>ROUND((1+$B$146)*(Z133+Z134+Z135+Z136+IF('Datu ievade'!$B$215='Datu ievade'!BE9,Z137*(1-$B$145)*$B$144,0))/Z142,3)</f>
        <v>2.214</v>
      </c>
      <c r="AA148" s="535">
        <f>ROUND((1+$B$146)*(AA133+AA134+AA135+AA136+IF('Datu ievade'!$B$215='Datu ievade'!BF9,AA137*(1-$B$145)*$B$144,0))/AA142,3)</f>
        <v>2.25</v>
      </c>
      <c r="AB148" s="535">
        <f>ROUND((1+$B$146)*(AB133+AB134+AB135+AB136+IF('Datu ievade'!$B$215='Datu ievade'!BG9,AB137*(1-$B$145)*$B$144,0))/AB142,3)</f>
        <v>2.2930000000000001</v>
      </c>
      <c r="AC148" s="535">
        <f>ROUND((1+$B$146)*(AC133+AC134+AC135+AC136+IF('Datu ievade'!$B$215='Datu ievade'!BH9,AC137*(1-$B$145)*$B$144,0))/AC142,3)</f>
        <v>2.44</v>
      </c>
      <c r="AD148" s="535">
        <f>ROUND((1+$B$146)*(AD133+AD134+AD135+AD136+IF('Datu ievade'!$B$215='Datu ievade'!BI9,AD137*(1-$B$145)*$B$144,0))/AD142,3)</f>
        <v>2.6970000000000001</v>
      </c>
      <c r="AE148" s="535">
        <f>ROUND((1+$B$146)*(AE133+AE134+AE135+AE136+IF('Datu ievade'!$B$215='Datu ievade'!BJ9,AE137*(1-$B$145)*$B$144,0))/AE142,3)</f>
        <v>2.7450000000000001</v>
      </c>
      <c r="AF148" s="535">
        <f>ROUND((1+$B$146)*(AF133+AF134+AF135+AF136+IF('Datu ievade'!$B$215='Datu ievade'!BK9,AF137*(1-$B$145)*$B$144,0))/AF142,3)</f>
        <v>2.8010000000000002</v>
      </c>
      <c r="AG148" s="535">
        <f>ROUND((1+$B$146)*(AG133+AG134+AG135+AG136+IF('Datu ievade'!$B$215='Datu ievade'!BL9,AG137*(1-$B$145)*$B$144,0))/AG142,3)</f>
        <v>2.8559999999999999</v>
      </c>
      <c r="AH148" s="535">
        <f>ROUND((1+$B$146)*(AH133+AH134+AH135+AH136+IF('Datu ievade'!$B$215='Datu ievade'!BM9,AH137*(1-$B$145)*$B$144,0))/AH142,3)</f>
        <v>2.911</v>
      </c>
    </row>
    <row r="149" spans="1:40" ht="14.25" outlineLevel="1" x14ac:dyDescent="0.2">
      <c r="A149" s="533" t="s">
        <v>88</v>
      </c>
      <c r="B149" s="535">
        <f>'Iedzivotaju maksatspeja'!B28/1.21</f>
        <v>1.5</v>
      </c>
      <c r="C149" s="535">
        <f>'Iedzivotaju maksatspeja'!C28/1.21</f>
        <v>1.5</v>
      </c>
      <c r="D149" s="535">
        <f>'Iedzivotaju maksatspeja'!D28/1.21</f>
        <v>1.74</v>
      </c>
      <c r="E149" s="535">
        <f>'Iedzivotaju maksatspeja'!E28/1.21</f>
        <v>1.786</v>
      </c>
      <c r="F149" s="535">
        <f>'Iedzivotaju maksatspeja'!F28/1.21</f>
        <v>1.7840000000000003</v>
      </c>
      <c r="G149" s="535">
        <f>'Iedzivotaju maksatspeja'!G28/1.21</f>
        <v>1.7819999999999998</v>
      </c>
      <c r="H149" s="535">
        <f>'Iedzivotaju maksatspeja'!H28/1.21</f>
        <v>1.8029999999999999</v>
      </c>
      <c r="I149" s="535">
        <f>'Iedzivotaju maksatspeja'!I28/1.21</f>
        <v>1.8250000000000002</v>
      </c>
      <c r="J149" s="535">
        <f>'Iedzivotaju maksatspeja'!J28/1.21</f>
        <v>1.8570000000000002</v>
      </c>
      <c r="K149" s="535">
        <f>'Iedzivotaju maksatspeja'!K28/1.21</f>
        <v>1.879</v>
      </c>
      <c r="L149" s="535">
        <f>'Iedzivotaju maksatspeja'!L28/1.21</f>
        <v>1.907</v>
      </c>
      <c r="M149" s="535">
        <f>'Iedzivotaju maksatspeja'!M28/1.21</f>
        <v>1.9349999999999998</v>
      </c>
      <c r="N149" s="535">
        <f>'Iedzivotaju maksatspeja'!N28/1.21</f>
        <v>1.9609999999999999</v>
      </c>
      <c r="O149" s="535">
        <f>'Iedzivotaju maksatspeja'!O28/1.21</f>
        <v>1.9439999999999997</v>
      </c>
      <c r="P149" s="535">
        <f>'Iedzivotaju maksatspeja'!P28/1.21</f>
        <v>1.9759999999999998</v>
      </c>
      <c r="Q149" s="535">
        <f>'Iedzivotaju maksatspeja'!Q28/1.21</f>
        <v>2.016</v>
      </c>
      <c r="R149" s="535">
        <f>'Iedzivotaju maksatspeja'!R28/1.21</f>
        <v>1.9530000000000001</v>
      </c>
      <c r="S149" s="535">
        <f>'Iedzivotaju maksatspeja'!S28/1.21</f>
        <v>1.9330000000000001</v>
      </c>
      <c r="T149" s="535">
        <f>'Iedzivotaju maksatspeja'!T28/1.21</f>
        <v>1.968</v>
      </c>
      <c r="U149" s="535">
        <f>'Iedzivotaju maksatspeja'!U28/1.21</f>
        <v>2.004</v>
      </c>
      <c r="V149" s="535">
        <f>'Iedzivotaju maksatspeja'!V28/1.21</f>
        <v>2.0619999999999998</v>
      </c>
      <c r="W149" s="535">
        <f>'Iedzivotaju maksatspeja'!W28/1.21</f>
        <v>2.0979999999999999</v>
      </c>
      <c r="X149" s="535">
        <f>'Iedzivotaju maksatspeja'!X28/1.21</f>
        <v>2.1419999999999999</v>
      </c>
      <c r="Y149" s="535">
        <f>'Iedzivotaju maksatspeja'!Y28/1.21</f>
        <v>2.1779999999999999</v>
      </c>
      <c r="Z149" s="535">
        <f>'Iedzivotaju maksatspeja'!Z28/1.21</f>
        <v>2.214</v>
      </c>
      <c r="AA149" s="535">
        <f>'Iedzivotaju maksatspeja'!AA28/1.21</f>
        <v>2.25</v>
      </c>
      <c r="AB149" s="535">
        <f>'Iedzivotaju maksatspeja'!AB28/1.21</f>
        <v>2.2930000000000001</v>
      </c>
      <c r="AC149" s="535">
        <f>'Iedzivotaju maksatspeja'!AC28/1.21</f>
        <v>2.44</v>
      </c>
      <c r="AD149" s="535">
        <f>'Iedzivotaju maksatspeja'!AD28/1.21</f>
        <v>2.6970000000000001</v>
      </c>
      <c r="AE149" s="535">
        <f>'Iedzivotaju maksatspeja'!AE28/1.21</f>
        <v>2.7450000000000001</v>
      </c>
      <c r="AF149" s="535">
        <f>'Iedzivotaju maksatspeja'!AF28/1.21</f>
        <v>2.8010000000000002</v>
      </c>
      <c r="AG149" s="535">
        <f>'Iedzivotaju maksatspeja'!AG28/1.21</f>
        <v>2.8559999999999999</v>
      </c>
      <c r="AH149" s="535">
        <f>'Iedzivotaju maksatspeja'!AH28/1.21</f>
        <v>2.911</v>
      </c>
    </row>
    <row r="150" spans="1:40" outlineLevel="1" x14ac:dyDescent="0.2">
      <c r="A150" s="755"/>
      <c r="B150" s="756">
        <v>1.7609999999999999</v>
      </c>
      <c r="C150" s="756">
        <v>1.804</v>
      </c>
      <c r="D150" s="756">
        <v>1.881</v>
      </c>
      <c r="E150" s="756">
        <v>1.88</v>
      </c>
      <c r="F150" s="756">
        <v>1.89</v>
      </c>
      <c r="G150" s="756">
        <v>1.8889999999999998</v>
      </c>
      <c r="H150" s="756">
        <v>1.9170000000000003</v>
      </c>
      <c r="I150" s="756">
        <v>1.9439999999999997</v>
      </c>
      <c r="J150" s="756">
        <v>1.972</v>
      </c>
      <c r="K150" s="756">
        <v>2.0110000000000001</v>
      </c>
      <c r="L150" s="756">
        <v>2.0379999999999998</v>
      </c>
      <c r="M150" s="756">
        <v>2.0659999999999998</v>
      </c>
      <c r="N150" s="756">
        <v>2.0859999999999999</v>
      </c>
      <c r="O150" s="756">
        <v>2.1190000000000002</v>
      </c>
      <c r="P150" s="756">
        <v>2.157</v>
      </c>
      <c r="Q150" s="756">
        <v>2.153</v>
      </c>
      <c r="R150" s="756">
        <v>2.1859999999999999</v>
      </c>
      <c r="S150" s="756">
        <v>2.218</v>
      </c>
      <c r="T150" s="756">
        <v>2.2509999999999999</v>
      </c>
      <c r="U150" s="756">
        <v>2.302</v>
      </c>
      <c r="V150" s="756">
        <v>2.335</v>
      </c>
      <c r="W150" s="756">
        <v>2.367</v>
      </c>
      <c r="X150" s="756">
        <v>2.4060000000000001</v>
      </c>
      <c r="Y150" s="756">
        <v>2.444</v>
      </c>
      <c r="Z150" s="756">
        <v>2.4830000000000001</v>
      </c>
      <c r="AA150" s="756">
        <v>2.573</v>
      </c>
      <c r="AB150" s="756">
        <v>2.5950000000000002</v>
      </c>
      <c r="AC150" s="756">
        <v>2.6389999999999998</v>
      </c>
      <c r="AD150" s="756">
        <v>2.6829999999999998</v>
      </c>
      <c r="AE150" s="756">
        <v>2.734</v>
      </c>
      <c r="AF150" s="756">
        <v>2.7850000000000001</v>
      </c>
      <c r="AG150" s="756">
        <v>2.8359999999999999</v>
      </c>
      <c r="AH150" s="756">
        <v>2.887</v>
      </c>
    </row>
    <row r="152" spans="1:40" ht="15" x14ac:dyDescent="0.2">
      <c r="A152" s="428" t="s">
        <v>91</v>
      </c>
      <c r="B152" s="118"/>
      <c r="C152" s="118"/>
      <c r="D152" s="118"/>
    </row>
    <row r="153" spans="1:40" x14ac:dyDescent="0.2">
      <c r="A153" s="30"/>
      <c r="B153" s="522">
        <f>'Saimnieciskas pamatdarbibas NP'!B6</f>
        <v>2017</v>
      </c>
      <c r="C153" s="522">
        <f t="shared" ref="C153:AG153" si="57">B153+1</f>
        <v>2018</v>
      </c>
      <c r="D153" s="522">
        <f t="shared" si="57"/>
        <v>2019</v>
      </c>
      <c r="E153" s="522">
        <f t="shared" si="57"/>
        <v>2020</v>
      </c>
      <c r="F153" s="522">
        <f t="shared" si="57"/>
        <v>2021</v>
      </c>
      <c r="G153" s="522">
        <f t="shared" si="57"/>
        <v>2022</v>
      </c>
      <c r="H153" s="522">
        <f t="shared" si="57"/>
        <v>2023</v>
      </c>
      <c r="I153" s="522">
        <f t="shared" si="57"/>
        <v>2024</v>
      </c>
      <c r="J153" s="522">
        <f t="shared" si="57"/>
        <v>2025</v>
      </c>
      <c r="K153" s="522">
        <f t="shared" si="57"/>
        <v>2026</v>
      </c>
      <c r="L153" s="522">
        <f t="shared" si="57"/>
        <v>2027</v>
      </c>
      <c r="M153" s="522">
        <f t="shared" si="57"/>
        <v>2028</v>
      </c>
      <c r="N153" s="522">
        <f t="shared" si="57"/>
        <v>2029</v>
      </c>
      <c r="O153" s="522">
        <f t="shared" si="57"/>
        <v>2030</v>
      </c>
      <c r="P153" s="522">
        <f t="shared" si="57"/>
        <v>2031</v>
      </c>
      <c r="Q153" s="522">
        <f t="shared" si="57"/>
        <v>2032</v>
      </c>
      <c r="R153" s="522">
        <f t="shared" si="57"/>
        <v>2033</v>
      </c>
      <c r="S153" s="522">
        <f t="shared" si="57"/>
        <v>2034</v>
      </c>
      <c r="T153" s="522">
        <f t="shared" si="57"/>
        <v>2035</v>
      </c>
      <c r="U153" s="522">
        <f t="shared" si="57"/>
        <v>2036</v>
      </c>
      <c r="V153" s="522">
        <f t="shared" si="57"/>
        <v>2037</v>
      </c>
      <c r="W153" s="522">
        <f t="shared" si="57"/>
        <v>2038</v>
      </c>
      <c r="X153" s="522">
        <f t="shared" si="57"/>
        <v>2039</v>
      </c>
      <c r="Y153" s="522">
        <f t="shared" si="57"/>
        <v>2040</v>
      </c>
      <c r="Z153" s="522">
        <f t="shared" si="57"/>
        <v>2041</v>
      </c>
      <c r="AA153" s="522">
        <f t="shared" si="57"/>
        <v>2042</v>
      </c>
      <c r="AB153" s="522">
        <f t="shared" si="57"/>
        <v>2043</v>
      </c>
      <c r="AC153" s="522">
        <f t="shared" si="57"/>
        <v>2044</v>
      </c>
      <c r="AD153" s="522">
        <f t="shared" si="57"/>
        <v>2045</v>
      </c>
      <c r="AE153" s="522">
        <f t="shared" si="57"/>
        <v>2046</v>
      </c>
      <c r="AF153" s="522">
        <f t="shared" si="57"/>
        <v>2047</v>
      </c>
      <c r="AG153" s="522">
        <f t="shared" si="57"/>
        <v>2048</v>
      </c>
      <c r="AH153" s="522">
        <f>AG153+1</f>
        <v>2049</v>
      </c>
    </row>
    <row r="154" spans="1:40" x14ac:dyDescent="0.2">
      <c r="A154" s="621" t="s">
        <v>285</v>
      </c>
      <c r="B154" s="622"/>
      <c r="C154" s="622"/>
      <c r="D154" s="622"/>
      <c r="E154" s="622"/>
      <c r="F154" s="622"/>
      <c r="G154" s="622"/>
      <c r="H154" s="622"/>
      <c r="I154" s="622"/>
      <c r="J154" s="622"/>
      <c r="K154" s="622"/>
      <c r="L154" s="622"/>
      <c r="M154" s="622"/>
      <c r="N154" s="622"/>
      <c r="O154" s="622"/>
      <c r="P154" s="622"/>
      <c r="Q154" s="622"/>
      <c r="R154" s="622"/>
      <c r="S154" s="622"/>
      <c r="T154" s="622"/>
      <c r="U154" s="622"/>
      <c r="V154" s="622"/>
      <c r="W154" s="622"/>
      <c r="X154" s="622"/>
      <c r="Y154" s="622"/>
      <c r="Z154" s="622"/>
      <c r="AA154" s="622"/>
      <c r="AB154" s="622"/>
      <c r="AC154" s="622"/>
      <c r="AD154" s="622"/>
      <c r="AE154" s="622"/>
      <c r="AF154" s="622"/>
      <c r="AG154" s="622"/>
      <c r="AH154" s="622"/>
    </row>
    <row r="155" spans="1:40" x14ac:dyDescent="0.2">
      <c r="A155" s="621" t="s">
        <v>299</v>
      </c>
      <c r="B155" s="622"/>
      <c r="C155" s="622"/>
      <c r="D155" s="622"/>
      <c r="E155" s="622"/>
      <c r="F155" s="622"/>
      <c r="G155" s="622"/>
      <c r="H155" s="622"/>
      <c r="I155" s="622"/>
      <c r="J155" s="622"/>
      <c r="K155" s="622"/>
      <c r="L155" s="622"/>
      <c r="M155" s="622"/>
      <c r="N155" s="622"/>
      <c r="O155" s="622"/>
      <c r="P155" s="622"/>
      <c r="Q155" s="622"/>
      <c r="R155" s="622"/>
      <c r="S155" s="622"/>
      <c r="T155" s="622"/>
      <c r="U155" s="622"/>
      <c r="V155" s="622"/>
      <c r="W155" s="622"/>
      <c r="X155" s="622"/>
      <c r="Y155" s="622"/>
      <c r="Z155" s="622"/>
      <c r="AA155" s="622"/>
      <c r="AB155" s="622"/>
      <c r="AC155" s="622"/>
      <c r="AD155" s="622"/>
      <c r="AE155" s="622"/>
      <c r="AF155" s="622"/>
      <c r="AG155" s="622"/>
      <c r="AH155" s="622"/>
    </row>
    <row r="156" spans="1:40" x14ac:dyDescent="0.2">
      <c r="A156" s="30" t="s">
        <v>591</v>
      </c>
      <c r="B156" s="524">
        <f t="shared" ref="B156:AH156" si="58">B73-B9</f>
        <v>0</v>
      </c>
      <c r="C156" s="524">
        <f t="shared" si="58"/>
        <v>0</v>
      </c>
      <c r="D156" s="524">
        <f t="shared" si="58"/>
        <v>0</v>
      </c>
      <c r="E156" s="524">
        <f t="shared" si="58"/>
        <v>39.960603081377485</v>
      </c>
      <c r="F156" s="524">
        <f t="shared" si="58"/>
        <v>40.808805816966924</v>
      </c>
      <c r="G156" s="524">
        <f t="shared" si="58"/>
        <v>41.660942791371781</v>
      </c>
      <c r="H156" s="524">
        <f t="shared" si="58"/>
        <v>42.404888198361732</v>
      </c>
      <c r="I156" s="524">
        <f t="shared" si="58"/>
        <v>43.148833605348045</v>
      </c>
      <c r="J156" s="524">
        <f t="shared" si="58"/>
        <v>43.892779012337996</v>
      </c>
      <c r="K156" s="524">
        <f t="shared" si="58"/>
        <v>44.636724419327948</v>
      </c>
      <c r="L156" s="524">
        <f t="shared" si="58"/>
        <v>45.380669826314261</v>
      </c>
      <c r="M156" s="524">
        <f t="shared" si="58"/>
        <v>46.124615233304212</v>
      </c>
      <c r="N156" s="524">
        <f t="shared" si="58"/>
        <v>46.868560640294163</v>
      </c>
      <c r="O156" s="524">
        <f t="shared" si="58"/>
        <v>47.984478750775452</v>
      </c>
      <c r="P156" s="524">
        <f t="shared" si="58"/>
        <v>49.100396861260379</v>
      </c>
      <c r="Q156" s="524">
        <f t="shared" si="58"/>
        <v>50.216314971741667</v>
      </c>
      <c r="R156" s="524">
        <f t="shared" si="58"/>
        <v>-5468.6677669177698</v>
      </c>
      <c r="S156" s="524">
        <f t="shared" si="58"/>
        <v>-5587.5518488072921</v>
      </c>
      <c r="T156" s="524">
        <f t="shared" si="58"/>
        <v>-5706.4359306968072</v>
      </c>
      <c r="U156" s="524">
        <f t="shared" si="58"/>
        <v>-5825.3200125863223</v>
      </c>
      <c r="V156" s="524">
        <f t="shared" si="58"/>
        <v>-5944.2040944758483</v>
      </c>
      <c r="W156" s="524">
        <f t="shared" si="58"/>
        <v>-6063.0881763653597</v>
      </c>
      <c r="X156" s="524">
        <f t="shared" si="58"/>
        <v>-6181.9722582548711</v>
      </c>
      <c r="Y156" s="524">
        <f t="shared" si="58"/>
        <v>-6300.8563401443898</v>
      </c>
      <c r="Z156" s="524">
        <f t="shared" si="58"/>
        <v>-6419.7404220339085</v>
      </c>
      <c r="AA156" s="524">
        <f t="shared" si="58"/>
        <v>-6538.6245039234273</v>
      </c>
      <c r="AB156" s="524">
        <f t="shared" si="58"/>
        <v>-6657.5085858129387</v>
      </c>
      <c r="AC156" s="524">
        <f t="shared" si="58"/>
        <v>-6776.3926677024574</v>
      </c>
      <c r="AD156" s="524">
        <f t="shared" si="58"/>
        <v>-6895.2767495919761</v>
      </c>
      <c r="AE156" s="524">
        <f t="shared" si="58"/>
        <v>-7014.1608314814875</v>
      </c>
      <c r="AF156" s="524">
        <f t="shared" si="58"/>
        <v>-7172.6729406675149</v>
      </c>
      <c r="AG156" s="524">
        <f t="shared" si="58"/>
        <v>-7331.185049853535</v>
      </c>
      <c r="AH156" s="524">
        <f t="shared" si="58"/>
        <v>-7489.6971590395624</v>
      </c>
    </row>
    <row r="157" spans="1:40" x14ac:dyDescent="0.2">
      <c r="A157" s="30" t="s">
        <v>592</v>
      </c>
      <c r="B157" s="524">
        <f t="shared" ref="B157:AH157" si="59">B74-B10</f>
        <v>0</v>
      </c>
      <c r="C157" s="524">
        <f t="shared" si="59"/>
        <v>0</v>
      </c>
      <c r="D157" s="524">
        <f t="shared" si="59"/>
        <v>0</v>
      </c>
      <c r="E157" s="524">
        <f t="shared" si="59"/>
        <v>33.308041011201567</v>
      </c>
      <c r="F157" s="524">
        <f t="shared" si="59"/>
        <v>34.015036635006254</v>
      </c>
      <c r="G157" s="524">
        <f t="shared" si="59"/>
        <v>34.725311533329659</v>
      </c>
      <c r="H157" s="524">
        <f t="shared" si="59"/>
        <v>35.345406382137298</v>
      </c>
      <c r="I157" s="524">
        <f t="shared" si="59"/>
        <v>35.965501230948576</v>
      </c>
      <c r="J157" s="524">
        <f t="shared" si="59"/>
        <v>36.585596079756215</v>
      </c>
      <c r="K157" s="524">
        <f t="shared" si="59"/>
        <v>37.205690928567492</v>
      </c>
      <c r="L157" s="524">
        <f t="shared" si="59"/>
        <v>37.825785777378769</v>
      </c>
      <c r="M157" s="524">
        <f t="shared" si="59"/>
        <v>38.445880626186408</v>
      </c>
      <c r="N157" s="524">
        <f t="shared" si="59"/>
        <v>39.065975474994048</v>
      </c>
      <c r="O157" s="524">
        <f t="shared" si="59"/>
        <v>39.996117748207325</v>
      </c>
      <c r="P157" s="524">
        <f t="shared" si="59"/>
        <v>40.926260021424241</v>
      </c>
      <c r="Q157" s="524">
        <f t="shared" si="59"/>
        <v>41.856402294641157</v>
      </c>
      <c r="R157" s="524">
        <f t="shared" si="59"/>
        <v>42.786544567850797</v>
      </c>
      <c r="S157" s="524">
        <f t="shared" si="59"/>
        <v>43.716686841064075</v>
      </c>
      <c r="T157" s="524">
        <f t="shared" si="59"/>
        <v>44.64682911428099</v>
      </c>
      <c r="U157" s="524">
        <f t="shared" si="59"/>
        <v>45.576971387494268</v>
      </c>
      <c r="V157" s="524">
        <f t="shared" si="59"/>
        <v>46.507113660707546</v>
      </c>
      <c r="W157" s="524">
        <f t="shared" si="59"/>
        <v>47.437255933924462</v>
      </c>
      <c r="X157" s="524">
        <f t="shared" si="59"/>
        <v>48.36739820713774</v>
      </c>
      <c r="Y157" s="524">
        <f t="shared" si="59"/>
        <v>49.297540480354655</v>
      </c>
      <c r="Z157" s="524">
        <f t="shared" si="59"/>
        <v>50.227682753567933</v>
      </c>
      <c r="AA157" s="524">
        <f t="shared" si="59"/>
        <v>51.157825026777573</v>
      </c>
      <c r="AB157" s="524">
        <f t="shared" si="59"/>
        <v>52.087967299994489</v>
      </c>
      <c r="AC157" s="524">
        <f t="shared" si="59"/>
        <v>53.018109573211404</v>
      </c>
      <c r="AD157" s="524">
        <f t="shared" si="59"/>
        <v>53.948251846424682</v>
      </c>
      <c r="AE157" s="524">
        <f t="shared" si="59"/>
        <v>54.87839411963796</v>
      </c>
      <c r="AF157" s="524">
        <f t="shared" si="59"/>
        <v>56.118583817260514</v>
      </c>
      <c r="AG157" s="524">
        <f t="shared" si="59"/>
        <v>57.358773514875793</v>
      </c>
      <c r="AH157" s="524">
        <f t="shared" si="59"/>
        <v>58.598963212498347</v>
      </c>
    </row>
    <row r="158" spans="1:40" x14ac:dyDescent="0.2">
      <c r="A158" s="30" t="s">
        <v>593</v>
      </c>
      <c r="B158" s="524">
        <f t="shared" ref="B158:AH158" si="60">B75-B11</f>
        <v>0</v>
      </c>
      <c r="C158" s="524">
        <f t="shared" si="60"/>
        <v>0</v>
      </c>
      <c r="D158" s="524">
        <f t="shared" si="60"/>
        <v>0</v>
      </c>
      <c r="E158" s="524">
        <f t="shared" si="60"/>
        <v>32.679380520265113</v>
      </c>
      <c r="F158" s="524">
        <f t="shared" si="60"/>
        <v>33.373032212610269</v>
      </c>
      <c r="G158" s="524">
        <f t="shared" si="60"/>
        <v>34.069901286013192</v>
      </c>
      <c r="H158" s="524">
        <f t="shared" si="60"/>
        <v>34.678292380405765</v>
      </c>
      <c r="I158" s="524">
        <f t="shared" si="60"/>
        <v>35.286683474798338</v>
      </c>
      <c r="J158" s="524">
        <f t="shared" si="60"/>
        <v>35.895074569194549</v>
      </c>
      <c r="K158" s="524">
        <f t="shared" si="60"/>
        <v>36.503465663583484</v>
      </c>
      <c r="L158" s="524">
        <f t="shared" si="60"/>
        <v>37.111856757979695</v>
      </c>
      <c r="M158" s="524">
        <f t="shared" si="60"/>
        <v>37.72024785236863</v>
      </c>
      <c r="N158" s="524">
        <f t="shared" si="60"/>
        <v>38.328638946764841</v>
      </c>
      <c r="O158" s="524">
        <f t="shared" si="60"/>
        <v>39.2412255883537</v>
      </c>
      <c r="P158" s="524">
        <f t="shared" si="60"/>
        <v>40.153812229942559</v>
      </c>
      <c r="Q158" s="524">
        <f t="shared" si="60"/>
        <v>41.066398871531419</v>
      </c>
      <c r="R158" s="524">
        <f t="shared" si="60"/>
        <v>41.978985513123916</v>
      </c>
      <c r="S158" s="524">
        <f t="shared" si="60"/>
        <v>42.891572154712776</v>
      </c>
      <c r="T158" s="524">
        <f t="shared" si="60"/>
        <v>43.804158796301635</v>
      </c>
      <c r="U158" s="524">
        <f t="shared" si="60"/>
        <v>44.716745437890495</v>
      </c>
      <c r="V158" s="524">
        <f t="shared" si="60"/>
        <v>45.629332079482992</v>
      </c>
      <c r="W158" s="524">
        <f t="shared" si="60"/>
        <v>46.541918721071852</v>
      </c>
      <c r="X158" s="524">
        <f t="shared" si="60"/>
        <v>47.454505362660711</v>
      </c>
      <c r="Y158" s="524">
        <f t="shared" si="60"/>
        <v>48.367092004249571</v>
      </c>
      <c r="Z158" s="524">
        <f t="shared" si="60"/>
        <v>49.27967864583843</v>
      </c>
      <c r="AA158" s="524">
        <f t="shared" si="60"/>
        <v>50.192265287430928</v>
      </c>
      <c r="AB158" s="524">
        <f t="shared" si="60"/>
        <v>51.104851929019787</v>
      </c>
      <c r="AC158" s="524">
        <f t="shared" si="60"/>
        <v>52.017438570608647</v>
      </c>
      <c r="AD158" s="524">
        <f t="shared" si="60"/>
        <v>52.930025212197506</v>
      </c>
      <c r="AE158" s="524">
        <f t="shared" si="60"/>
        <v>53.842611853786366</v>
      </c>
      <c r="AF158" s="524">
        <f t="shared" si="60"/>
        <v>55.05939404257515</v>
      </c>
      <c r="AG158" s="524">
        <f t="shared" si="60"/>
        <v>56.276176231360296</v>
      </c>
      <c r="AH158" s="524">
        <f t="shared" si="60"/>
        <v>57.492958420145442</v>
      </c>
    </row>
    <row r="159" spans="1:40" x14ac:dyDescent="0.2">
      <c r="A159" s="30" t="s">
        <v>594</v>
      </c>
      <c r="B159" s="524">
        <f t="shared" ref="B159:AH159" si="61">B76-B12</f>
        <v>0</v>
      </c>
      <c r="C159" s="524">
        <f t="shared" si="61"/>
        <v>0</v>
      </c>
      <c r="D159" s="524">
        <f t="shared" si="61"/>
        <v>0</v>
      </c>
      <c r="E159" s="524">
        <f t="shared" si="61"/>
        <v>38.896540375422774</v>
      </c>
      <c r="F159" s="524">
        <f t="shared" si="61"/>
        <v>39.72215734331985</v>
      </c>
      <c r="G159" s="524">
        <f t="shared" si="61"/>
        <v>40.551603789932415</v>
      </c>
      <c r="H159" s="524">
        <f t="shared" si="61"/>
        <v>41.275739571894519</v>
      </c>
      <c r="I159" s="524">
        <f t="shared" si="61"/>
        <v>41.999875353856623</v>
      </c>
      <c r="J159" s="524">
        <f t="shared" si="61"/>
        <v>42.724011135818728</v>
      </c>
      <c r="K159" s="524">
        <f t="shared" si="61"/>
        <v>43.448146917780832</v>
      </c>
      <c r="L159" s="524">
        <f t="shared" si="61"/>
        <v>44.172282699746575</v>
      </c>
      <c r="M159" s="524">
        <f t="shared" si="61"/>
        <v>44.896418481708679</v>
      </c>
      <c r="N159" s="524">
        <f t="shared" si="61"/>
        <v>45.620554263674421</v>
      </c>
      <c r="O159" s="524">
        <f t="shared" si="61"/>
        <v>46.706757936615759</v>
      </c>
      <c r="P159" s="524">
        <f t="shared" si="61"/>
        <v>47.792961609560734</v>
      </c>
      <c r="Q159" s="524">
        <f t="shared" si="61"/>
        <v>48.87916528250571</v>
      </c>
      <c r="R159" s="524">
        <f t="shared" si="61"/>
        <v>49.965368955450685</v>
      </c>
      <c r="S159" s="524">
        <f t="shared" si="61"/>
        <v>51.051572628395661</v>
      </c>
      <c r="T159" s="524">
        <f t="shared" si="61"/>
        <v>52.137776301340637</v>
      </c>
      <c r="U159" s="524">
        <f t="shared" si="61"/>
        <v>53.223979974281974</v>
      </c>
      <c r="V159" s="524">
        <f t="shared" si="61"/>
        <v>54.310183647230588</v>
      </c>
      <c r="W159" s="524">
        <f t="shared" si="61"/>
        <v>55.396387320171925</v>
      </c>
      <c r="X159" s="524">
        <f t="shared" si="61"/>
        <v>56.482590993116901</v>
      </c>
      <c r="Y159" s="524">
        <f t="shared" si="61"/>
        <v>57.568794666069152</v>
      </c>
      <c r="Z159" s="524">
        <f t="shared" si="61"/>
        <v>58.654998339006852</v>
      </c>
      <c r="AA159" s="524">
        <f t="shared" si="61"/>
        <v>59.741202011951827</v>
      </c>
      <c r="AB159" s="524">
        <f t="shared" si="61"/>
        <v>60.827405684896803</v>
      </c>
      <c r="AC159" s="524">
        <f t="shared" si="61"/>
        <v>61.913609357841779</v>
      </c>
      <c r="AD159" s="524">
        <f t="shared" si="61"/>
        <v>62.999813030786754</v>
      </c>
      <c r="AE159" s="524">
        <f t="shared" si="61"/>
        <v>64.08601670373173</v>
      </c>
      <c r="AF159" s="524">
        <f t="shared" si="61"/>
        <v>65.534288267655938</v>
      </c>
      <c r="AG159" s="524">
        <f t="shared" si="61"/>
        <v>66.982559831580147</v>
      </c>
      <c r="AH159" s="524">
        <f t="shared" si="61"/>
        <v>68.430831395511632</v>
      </c>
    </row>
    <row r="160" spans="1:40" ht="25.5" x14ac:dyDescent="0.2">
      <c r="A160" s="30" t="s">
        <v>595</v>
      </c>
      <c r="B160" s="524">
        <f t="shared" ref="B160:AH160" si="62">B77-B13</f>
        <v>0</v>
      </c>
      <c r="C160" s="524">
        <f t="shared" si="62"/>
        <v>0</v>
      </c>
      <c r="D160" s="524">
        <f t="shared" si="62"/>
        <v>0</v>
      </c>
      <c r="E160" s="524">
        <f t="shared" si="62"/>
        <v>19.192419987910398</v>
      </c>
      <c r="F160" s="524">
        <f t="shared" si="62"/>
        <v>19.59979780208414</v>
      </c>
      <c r="G160" s="524">
        <f t="shared" si="62"/>
        <v>20.009065166408618</v>
      </c>
      <c r="H160" s="524">
        <f t="shared" si="62"/>
        <v>20.366369901523285</v>
      </c>
      <c r="I160" s="524">
        <f t="shared" si="62"/>
        <v>20.723674636637952</v>
      </c>
      <c r="J160" s="524">
        <f t="shared" si="62"/>
        <v>21.080979371752619</v>
      </c>
      <c r="K160" s="524">
        <f t="shared" si="62"/>
        <v>21.438284106867286</v>
      </c>
      <c r="L160" s="524">
        <f t="shared" si="62"/>
        <v>21.795588841981953</v>
      </c>
      <c r="M160" s="524">
        <f t="shared" si="62"/>
        <v>22.152893577094801</v>
      </c>
      <c r="N160" s="524">
        <f t="shared" si="62"/>
        <v>22.510198312211287</v>
      </c>
      <c r="O160" s="524">
        <f t="shared" si="62"/>
        <v>23.046155414882378</v>
      </c>
      <c r="P160" s="524">
        <f t="shared" si="62"/>
        <v>23.582112517553469</v>
      </c>
      <c r="Q160" s="524">
        <f t="shared" si="62"/>
        <v>24.118069620226379</v>
      </c>
      <c r="R160" s="524">
        <f t="shared" si="62"/>
        <v>24.65402672289747</v>
      </c>
      <c r="S160" s="524">
        <f t="shared" si="62"/>
        <v>25.189983825568561</v>
      </c>
      <c r="T160" s="524">
        <f t="shared" si="62"/>
        <v>25.725940928239652</v>
      </c>
      <c r="U160" s="524">
        <f t="shared" si="62"/>
        <v>26.261898030912562</v>
      </c>
      <c r="V160" s="524">
        <f t="shared" si="62"/>
        <v>26.797855133583653</v>
      </c>
      <c r="W160" s="524">
        <f t="shared" si="62"/>
        <v>27.333812236254744</v>
      </c>
      <c r="X160" s="524">
        <f t="shared" si="62"/>
        <v>27.869769338925835</v>
      </c>
      <c r="Y160" s="524">
        <f t="shared" si="62"/>
        <v>28.405726441596926</v>
      </c>
      <c r="Z160" s="524">
        <f t="shared" si="62"/>
        <v>28.941683544268017</v>
      </c>
      <c r="AA160" s="524">
        <f t="shared" si="62"/>
        <v>29.477640646942746</v>
      </c>
      <c r="AB160" s="524">
        <f t="shared" si="62"/>
        <v>30.013597749613837</v>
      </c>
      <c r="AC160" s="524">
        <f t="shared" si="62"/>
        <v>30.549554852284928</v>
      </c>
      <c r="AD160" s="524">
        <f t="shared" si="62"/>
        <v>12211.085511954956</v>
      </c>
      <c r="AE160" s="524">
        <f t="shared" si="62"/>
        <v>12421.621469057627</v>
      </c>
      <c r="AF160" s="524">
        <f t="shared" si="62"/>
        <v>12702.33607852786</v>
      </c>
      <c r="AG160" s="524">
        <f t="shared" si="62"/>
        <v>12983.050687998086</v>
      </c>
      <c r="AH160" s="524">
        <f t="shared" si="62"/>
        <v>13263.765297468315</v>
      </c>
    </row>
    <row r="161" spans="1:34" x14ac:dyDescent="0.2">
      <c r="A161" s="621" t="s">
        <v>295</v>
      </c>
      <c r="B161" s="622"/>
      <c r="C161" s="622"/>
      <c r="D161" s="622"/>
      <c r="E161" s="622"/>
      <c r="F161" s="622"/>
      <c r="G161" s="622"/>
      <c r="H161" s="622"/>
      <c r="I161" s="622"/>
      <c r="J161" s="622"/>
      <c r="K161" s="622"/>
      <c r="L161" s="622"/>
      <c r="M161" s="622"/>
      <c r="N161" s="622"/>
      <c r="O161" s="622"/>
      <c r="P161" s="622"/>
      <c r="Q161" s="622"/>
      <c r="R161" s="622"/>
      <c r="S161" s="622"/>
      <c r="T161" s="622"/>
      <c r="U161" s="622"/>
      <c r="V161" s="622"/>
      <c r="W161" s="622"/>
      <c r="X161" s="622"/>
      <c r="Y161" s="622"/>
      <c r="Z161" s="622"/>
      <c r="AA161" s="622"/>
      <c r="AB161" s="622"/>
      <c r="AC161" s="622"/>
      <c r="AD161" s="622"/>
      <c r="AE161" s="622"/>
      <c r="AF161" s="622"/>
      <c r="AG161" s="622"/>
      <c r="AH161" s="622"/>
    </row>
    <row r="162" spans="1:34" x14ac:dyDescent="0.2">
      <c r="A162" s="30" t="s">
        <v>591</v>
      </c>
      <c r="B162" s="524">
        <f t="shared" ref="B162:AH162" si="63">B79-B15</f>
        <v>0</v>
      </c>
      <c r="C162" s="524">
        <f t="shared" si="63"/>
        <v>49.572522205558926</v>
      </c>
      <c r="D162" s="524">
        <f t="shared" si="63"/>
        <v>150.6347531903084</v>
      </c>
      <c r="E162" s="524">
        <f t="shared" si="63"/>
        <v>379.17600188868528</v>
      </c>
      <c r="F162" s="524">
        <f t="shared" si="63"/>
        <v>616.62647380201088</v>
      </c>
      <c r="G162" s="524">
        <f t="shared" si="63"/>
        <v>863.03998619792037</v>
      </c>
      <c r="H162" s="524">
        <f t="shared" si="63"/>
        <v>878.4514145228859</v>
      </c>
      <c r="I162" s="524">
        <f t="shared" si="63"/>
        <v>893.86284284784415</v>
      </c>
      <c r="J162" s="524">
        <f t="shared" si="63"/>
        <v>909.27427117280968</v>
      </c>
      <c r="K162" s="524">
        <f t="shared" si="63"/>
        <v>924.68569949777157</v>
      </c>
      <c r="L162" s="524">
        <f t="shared" si="63"/>
        <v>940.09712782273709</v>
      </c>
      <c r="M162" s="524">
        <f t="shared" si="63"/>
        <v>955.50855614769898</v>
      </c>
      <c r="N162" s="524">
        <f t="shared" si="63"/>
        <v>970.91998447266087</v>
      </c>
      <c r="O162" s="524">
        <f t="shared" si="63"/>
        <v>994.03712696010552</v>
      </c>
      <c r="P162" s="524">
        <f t="shared" si="63"/>
        <v>1017.1542694475502</v>
      </c>
      <c r="Q162" s="524">
        <f t="shared" si="63"/>
        <v>1040.2714119349948</v>
      </c>
      <c r="R162" s="524">
        <f t="shared" si="63"/>
        <v>-19636.611445577568</v>
      </c>
      <c r="S162" s="524">
        <f t="shared" si="63"/>
        <v>-20063.49430309012</v>
      </c>
      <c r="T162" s="524">
        <f t="shared" si="63"/>
        <v>-20490.377160602671</v>
      </c>
      <c r="U162" s="524">
        <f t="shared" si="63"/>
        <v>-20917.260018115237</v>
      </c>
      <c r="V162" s="524">
        <f t="shared" si="63"/>
        <v>-28844.142875627789</v>
      </c>
      <c r="W162" s="524">
        <f t="shared" si="63"/>
        <v>-29421.025733140341</v>
      </c>
      <c r="X162" s="524">
        <f t="shared" si="63"/>
        <v>-29997.908590652907</v>
      </c>
      <c r="Y162" s="524">
        <f t="shared" si="63"/>
        <v>-30574.791448165459</v>
      </c>
      <c r="Z162" s="524">
        <f t="shared" si="63"/>
        <v>-31151.674305678011</v>
      </c>
      <c r="AA162" s="524">
        <f t="shared" si="63"/>
        <v>-31728.557163190562</v>
      </c>
      <c r="AB162" s="524">
        <f t="shared" si="63"/>
        <v>-32305.440020703129</v>
      </c>
      <c r="AC162" s="524">
        <f t="shared" si="63"/>
        <v>-32882.32287821568</v>
      </c>
      <c r="AD162" s="524">
        <f t="shared" si="63"/>
        <v>-33459.205735728232</v>
      </c>
      <c r="AE162" s="524">
        <f t="shared" si="63"/>
        <v>-34036.088593240784</v>
      </c>
      <c r="AF162" s="524">
        <f t="shared" si="63"/>
        <v>-34805.265736590882</v>
      </c>
      <c r="AG162" s="524">
        <f t="shared" si="63"/>
        <v>-35574.442879940951</v>
      </c>
      <c r="AH162" s="524">
        <f t="shared" si="63"/>
        <v>-36343.620023291005</v>
      </c>
    </row>
    <row r="163" spans="1:34" x14ac:dyDescent="0.2">
      <c r="A163" s="30" t="s">
        <v>592</v>
      </c>
      <c r="B163" s="524">
        <f t="shared" ref="B163:AH163" si="64">B80-B16</f>
        <v>0</v>
      </c>
      <c r="C163" s="524">
        <f t="shared" si="64"/>
        <v>244.94212537888961</v>
      </c>
      <c r="D163" s="524">
        <f t="shared" si="64"/>
        <v>100.90077676704095</v>
      </c>
      <c r="E163" s="524">
        <f t="shared" si="64"/>
        <v>131.50524278060766</v>
      </c>
      <c r="F163" s="524">
        <f t="shared" si="64"/>
        <v>162.89082406170201</v>
      </c>
      <c r="G163" s="524">
        <f t="shared" si="64"/>
        <v>189.52503469132353</v>
      </c>
      <c r="H163" s="524">
        <f t="shared" si="64"/>
        <v>194.04941031080671</v>
      </c>
      <c r="I163" s="524">
        <f t="shared" si="64"/>
        <v>198.61378593029804</v>
      </c>
      <c r="J163" s="524">
        <f t="shared" si="64"/>
        <v>202.03816154978995</v>
      </c>
      <c r="K163" s="524">
        <f t="shared" si="64"/>
        <v>205.46253716926731</v>
      </c>
      <c r="L163" s="524">
        <f t="shared" si="64"/>
        <v>208.88691278875922</v>
      </c>
      <c r="M163" s="524">
        <f t="shared" si="64"/>
        <v>212.31128840825113</v>
      </c>
      <c r="N163" s="524">
        <f t="shared" si="64"/>
        <v>215.73566402772849</v>
      </c>
      <c r="O163" s="524">
        <f t="shared" si="64"/>
        <v>220.87222745695908</v>
      </c>
      <c r="P163" s="524">
        <f t="shared" si="64"/>
        <v>226.00879088618967</v>
      </c>
      <c r="Q163" s="524">
        <f t="shared" si="64"/>
        <v>231.14535431543482</v>
      </c>
      <c r="R163" s="524">
        <f t="shared" si="64"/>
        <v>236.28191774466541</v>
      </c>
      <c r="S163" s="524">
        <f t="shared" si="64"/>
        <v>241.41848117388145</v>
      </c>
      <c r="T163" s="524">
        <f t="shared" si="64"/>
        <v>246.55504460312659</v>
      </c>
      <c r="U163" s="524">
        <f t="shared" si="64"/>
        <v>251.69160803235718</v>
      </c>
      <c r="V163" s="524">
        <f t="shared" si="64"/>
        <v>256.82817146158777</v>
      </c>
      <c r="W163" s="524">
        <f t="shared" si="64"/>
        <v>261.96473489081836</v>
      </c>
      <c r="X163" s="524">
        <f t="shared" si="64"/>
        <v>267.10129832004895</v>
      </c>
      <c r="Y163" s="524">
        <f t="shared" si="64"/>
        <v>272.2378617492941</v>
      </c>
      <c r="Z163" s="524">
        <f t="shared" si="64"/>
        <v>277.37442517851014</v>
      </c>
      <c r="AA163" s="524">
        <f t="shared" si="64"/>
        <v>282.51098860774073</v>
      </c>
      <c r="AB163" s="524">
        <f t="shared" si="64"/>
        <v>287.64755203697132</v>
      </c>
      <c r="AC163" s="524">
        <f t="shared" si="64"/>
        <v>292.78411546620191</v>
      </c>
      <c r="AD163" s="524">
        <f t="shared" si="64"/>
        <v>297.9206788954325</v>
      </c>
      <c r="AE163" s="524">
        <f t="shared" si="64"/>
        <v>303.05724232466309</v>
      </c>
      <c r="AF163" s="524">
        <f t="shared" si="64"/>
        <v>309.90599356364692</v>
      </c>
      <c r="AG163" s="524">
        <f t="shared" si="64"/>
        <v>316.75474480263074</v>
      </c>
      <c r="AH163" s="524">
        <f t="shared" si="64"/>
        <v>323.60349604158546</v>
      </c>
    </row>
    <row r="164" spans="1:34" x14ac:dyDescent="0.2">
      <c r="A164" s="30" t="s">
        <v>593</v>
      </c>
      <c r="B164" s="524">
        <f t="shared" ref="B164:AH164" si="65">B81-B17</f>
        <v>0</v>
      </c>
      <c r="C164" s="524">
        <f t="shared" si="65"/>
        <v>5.8305719386000874</v>
      </c>
      <c r="D164" s="524">
        <f t="shared" si="65"/>
        <v>18.161194646565264</v>
      </c>
      <c r="E164" s="524">
        <f t="shared" si="65"/>
        <v>46.056198561401743</v>
      </c>
      <c r="F164" s="524">
        <f t="shared" si="65"/>
        <v>75.038809701456103</v>
      </c>
      <c r="G164" s="524">
        <f t="shared" si="65"/>
        <v>105.11558296717749</v>
      </c>
      <c r="H164" s="524">
        <f t="shared" si="65"/>
        <v>106.99264694873455</v>
      </c>
      <c r="I164" s="524">
        <f t="shared" si="65"/>
        <v>108.8697109302916</v>
      </c>
      <c r="J164" s="524">
        <f t="shared" si="65"/>
        <v>110.74677491184821</v>
      </c>
      <c r="K164" s="524">
        <f t="shared" si="65"/>
        <v>112.62383889340481</v>
      </c>
      <c r="L164" s="524">
        <f t="shared" si="65"/>
        <v>114.50090287496141</v>
      </c>
      <c r="M164" s="524">
        <f t="shared" si="65"/>
        <v>116.37796685651847</v>
      </c>
      <c r="N164" s="524">
        <f t="shared" si="65"/>
        <v>118.25503083807553</v>
      </c>
      <c r="O164" s="524">
        <f t="shared" si="65"/>
        <v>121.07062681040998</v>
      </c>
      <c r="P164" s="524">
        <f t="shared" si="65"/>
        <v>123.88622278274534</v>
      </c>
      <c r="Q164" s="524">
        <f t="shared" si="65"/>
        <v>126.70181875508024</v>
      </c>
      <c r="R164" s="524">
        <f t="shared" si="65"/>
        <v>129.5174147274156</v>
      </c>
      <c r="S164" s="524">
        <f t="shared" si="65"/>
        <v>132.33301069975096</v>
      </c>
      <c r="T164" s="524">
        <f t="shared" si="65"/>
        <v>135.14860667208586</v>
      </c>
      <c r="U164" s="524">
        <f t="shared" si="65"/>
        <v>137.96420264442122</v>
      </c>
      <c r="V164" s="524">
        <f t="shared" si="65"/>
        <v>140.77979861675612</v>
      </c>
      <c r="W164" s="524">
        <f t="shared" si="65"/>
        <v>143.59539458909103</v>
      </c>
      <c r="X164" s="524">
        <f t="shared" si="65"/>
        <v>146.41099056142639</v>
      </c>
      <c r="Y164" s="524">
        <f t="shared" si="65"/>
        <v>149.22658653376129</v>
      </c>
      <c r="Z164" s="524">
        <f t="shared" si="65"/>
        <v>152.04218250609665</v>
      </c>
      <c r="AA164" s="524">
        <f t="shared" si="65"/>
        <v>154.85777847843201</v>
      </c>
      <c r="AB164" s="524">
        <f t="shared" si="65"/>
        <v>157.67337445076691</v>
      </c>
      <c r="AC164" s="524">
        <f t="shared" si="65"/>
        <v>160.48897042310227</v>
      </c>
      <c r="AD164" s="524">
        <f t="shared" si="65"/>
        <v>163.30456639543672</v>
      </c>
      <c r="AE164" s="524">
        <f t="shared" si="65"/>
        <v>166.12016236777208</v>
      </c>
      <c r="AF164" s="524">
        <f t="shared" si="65"/>
        <v>169.87429033088529</v>
      </c>
      <c r="AG164" s="524">
        <f t="shared" si="65"/>
        <v>173.6284182939994</v>
      </c>
      <c r="AH164" s="524">
        <f t="shared" si="65"/>
        <v>177.38254625711261</v>
      </c>
    </row>
    <row r="165" spans="1:34" x14ac:dyDescent="0.2">
      <c r="A165" s="30" t="s">
        <v>594</v>
      </c>
      <c r="B165" s="524">
        <f t="shared" ref="B165:AH165" si="66">B82-B18</f>
        <v>0</v>
      </c>
      <c r="C165" s="524">
        <f t="shared" si="66"/>
        <v>68.813647266724729</v>
      </c>
      <c r="D165" s="524">
        <f t="shared" si="66"/>
        <v>209.10226696082464</v>
      </c>
      <c r="E165" s="524">
        <f t="shared" si="66"/>
        <v>526.34972934762482</v>
      </c>
      <c r="F165" s="524">
        <f t="shared" si="66"/>
        <v>855.9644491677318</v>
      </c>
      <c r="G165" s="524">
        <f t="shared" si="66"/>
        <v>1198.0211323732801</v>
      </c>
      <c r="H165" s="524">
        <f t="shared" si="66"/>
        <v>1219.4143668799479</v>
      </c>
      <c r="I165" s="524">
        <f t="shared" si="66"/>
        <v>1240.8076013866121</v>
      </c>
      <c r="J165" s="524">
        <f t="shared" si="66"/>
        <v>1262.2008358932799</v>
      </c>
      <c r="K165" s="524">
        <f t="shared" si="66"/>
        <v>1283.594070399944</v>
      </c>
      <c r="L165" s="524">
        <f t="shared" si="66"/>
        <v>1304.9873049066118</v>
      </c>
      <c r="M165" s="524">
        <f t="shared" si="66"/>
        <v>1326.380539413276</v>
      </c>
      <c r="N165" s="524">
        <f t="shared" si="66"/>
        <v>1347.7737739199438</v>
      </c>
      <c r="O165" s="524">
        <f t="shared" si="66"/>
        <v>1379.86362567994</v>
      </c>
      <c r="P165" s="524">
        <f t="shared" si="66"/>
        <v>1411.9534774399399</v>
      </c>
      <c r="Q165" s="524">
        <f t="shared" si="66"/>
        <v>1444.0433291999398</v>
      </c>
      <c r="R165" s="524">
        <f t="shared" si="66"/>
        <v>1476.133180959936</v>
      </c>
      <c r="S165" s="524">
        <f t="shared" si="66"/>
        <v>1508.2230327199359</v>
      </c>
      <c r="T165" s="524">
        <f t="shared" si="66"/>
        <v>1540.3128844799321</v>
      </c>
      <c r="U165" s="524">
        <f t="shared" si="66"/>
        <v>1572.4027362399356</v>
      </c>
      <c r="V165" s="524">
        <f t="shared" si="66"/>
        <v>1604.4925879999282</v>
      </c>
      <c r="W165" s="524">
        <f t="shared" si="66"/>
        <v>1636.5824397599354</v>
      </c>
      <c r="X165" s="524">
        <f t="shared" si="66"/>
        <v>1668.672291519928</v>
      </c>
      <c r="Y165" s="524">
        <f t="shared" si="66"/>
        <v>1700.7621432799278</v>
      </c>
      <c r="Z165" s="524">
        <f t="shared" si="66"/>
        <v>1732.8519950399277</v>
      </c>
      <c r="AA165" s="524">
        <f t="shared" si="66"/>
        <v>1764.9418467999276</v>
      </c>
      <c r="AB165" s="524">
        <f t="shared" si="66"/>
        <v>1797.0316985599202</v>
      </c>
      <c r="AC165" s="524">
        <f t="shared" si="66"/>
        <v>1829.1215503199273</v>
      </c>
      <c r="AD165" s="524">
        <f t="shared" si="66"/>
        <v>1861.2114020799199</v>
      </c>
      <c r="AE165" s="524">
        <f t="shared" si="66"/>
        <v>1893.3012538399198</v>
      </c>
      <c r="AF165" s="524">
        <f t="shared" si="66"/>
        <v>1936.0877228532481</v>
      </c>
      <c r="AG165" s="524">
        <f t="shared" si="66"/>
        <v>1978.8741918665837</v>
      </c>
      <c r="AH165" s="524">
        <f t="shared" si="66"/>
        <v>2021.660660879912</v>
      </c>
    </row>
    <row r="166" spans="1:34" ht="25.5" x14ac:dyDescent="0.2">
      <c r="A166" s="30" t="s">
        <v>595</v>
      </c>
      <c r="B166" s="524">
        <f t="shared" ref="B166:AH166" si="67">B83-B19</f>
        <v>0</v>
      </c>
      <c r="C166" s="524">
        <f t="shared" si="67"/>
        <v>31.035090607063466</v>
      </c>
      <c r="D166" s="524">
        <f t="shared" si="67"/>
        <v>94.305534716364491</v>
      </c>
      <c r="E166" s="524">
        <f t="shared" si="67"/>
        <v>237.38476581528994</v>
      </c>
      <c r="F166" s="524">
        <f t="shared" si="67"/>
        <v>386.041654402934</v>
      </c>
      <c r="G166" s="524">
        <f t="shared" si="67"/>
        <v>540.3098930110209</v>
      </c>
      <c r="H166" s="524">
        <f t="shared" si="67"/>
        <v>549.95828395764511</v>
      </c>
      <c r="I166" s="524">
        <f t="shared" si="67"/>
        <v>559.60667490427113</v>
      </c>
      <c r="J166" s="524">
        <f t="shared" si="67"/>
        <v>569.25506585089715</v>
      </c>
      <c r="K166" s="524">
        <f t="shared" si="67"/>
        <v>578.90345679752136</v>
      </c>
      <c r="L166" s="524">
        <f t="shared" si="67"/>
        <v>588.55184774414738</v>
      </c>
      <c r="M166" s="524">
        <f t="shared" si="67"/>
        <v>598.2002386907734</v>
      </c>
      <c r="N166" s="524">
        <f t="shared" si="67"/>
        <v>607.84862963739943</v>
      </c>
      <c r="O166" s="524">
        <f t="shared" si="67"/>
        <v>622.32121605733664</v>
      </c>
      <c r="P166" s="524">
        <f t="shared" si="67"/>
        <v>636.79380247727386</v>
      </c>
      <c r="Q166" s="524">
        <f t="shared" si="67"/>
        <v>651.26638889721107</v>
      </c>
      <c r="R166" s="524">
        <f t="shared" si="67"/>
        <v>665.73897531715011</v>
      </c>
      <c r="S166" s="524">
        <f t="shared" si="67"/>
        <v>680.21156173708914</v>
      </c>
      <c r="T166" s="524">
        <f t="shared" si="67"/>
        <v>694.68414815702636</v>
      </c>
      <c r="U166" s="524">
        <f t="shared" si="67"/>
        <v>709.15673457696539</v>
      </c>
      <c r="V166" s="524">
        <f t="shared" si="67"/>
        <v>723.62932099690079</v>
      </c>
      <c r="W166" s="524">
        <f t="shared" si="67"/>
        <v>738.10190741683982</v>
      </c>
      <c r="X166" s="524">
        <f t="shared" si="67"/>
        <v>752.57449383677886</v>
      </c>
      <c r="Y166" s="524">
        <f t="shared" si="67"/>
        <v>767.04708025671607</v>
      </c>
      <c r="Z166" s="524">
        <f t="shared" si="67"/>
        <v>781.51966667665511</v>
      </c>
      <c r="AA166" s="524">
        <f t="shared" si="67"/>
        <v>795.99225309659232</v>
      </c>
      <c r="AB166" s="524">
        <f t="shared" si="67"/>
        <v>810.46483951653136</v>
      </c>
      <c r="AC166" s="524">
        <f t="shared" si="67"/>
        <v>35024.93742593647</v>
      </c>
      <c r="AD166" s="524">
        <f t="shared" si="67"/>
        <v>105239.41001235641</v>
      </c>
      <c r="AE166" s="524">
        <f t="shared" si="67"/>
        <v>107053.88259877634</v>
      </c>
      <c r="AF166" s="524">
        <f t="shared" si="67"/>
        <v>109473.17938066959</v>
      </c>
      <c r="AG166" s="524">
        <f t="shared" si="67"/>
        <v>111892.47616256286</v>
      </c>
      <c r="AH166" s="524">
        <f t="shared" si="67"/>
        <v>114311.77294445608</v>
      </c>
    </row>
    <row r="167" spans="1:34" x14ac:dyDescent="0.2">
      <c r="A167" s="523" t="s">
        <v>57</v>
      </c>
      <c r="B167" s="525">
        <f t="shared" ref="B167:AH167" si="68">B84-B20</f>
        <v>0</v>
      </c>
      <c r="C167" s="525">
        <f t="shared" si="68"/>
        <v>400.19395739687025</v>
      </c>
      <c r="D167" s="525">
        <f t="shared" si="68"/>
        <v>573.10452628112398</v>
      </c>
      <c r="E167" s="525">
        <f t="shared" si="68"/>
        <v>1484.5089233697508</v>
      </c>
      <c r="F167" s="525">
        <f t="shared" si="68"/>
        <v>2264.0810409458063</v>
      </c>
      <c r="G167" s="525">
        <f t="shared" si="68"/>
        <v>3067.0284538077249</v>
      </c>
      <c r="H167" s="525">
        <f t="shared" si="68"/>
        <v>3122.9368190543028</v>
      </c>
      <c r="I167" s="525">
        <f t="shared" si="68"/>
        <v>3178.8851843008597</v>
      </c>
      <c r="J167" s="525">
        <f t="shared" si="68"/>
        <v>3233.6935495474609</v>
      </c>
      <c r="K167" s="525">
        <f t="shared" si="68"/>
        <v>3288.5019147940329</v>
      </c>
      <c r="L167" s="525">
        <f t="shared" si="68"/>
        <v>3343.3102800405468</v>
      </c>
      <c r="M167" s="525">
        <f t="shared" si="68"/>
        <v>3398.1186452871771</v>
      </c>
      <c r="N167" s="525">
        <f t="shared" si="68"/>
        <v>3452.9270105336909</v>
      </c>
      <c r="O167" s="525">
        <f t="shared" si="68"/>
        <v>3535.1395584035199</v>
      </c>
      <c r="P167" s="525">
        <f t="shared" si="68"/>
        <v>3617.3521062734653</v>
      </c>
      <c r="Q167" s="525">
        <f t="shared" si="68"/>
        <v>3699.5646541433525</v>
      </c>
      <c r="R167" s="525">
        <f t="shared" si="68"/>
        <v>-22438.222797986877</v>
      </c>
      <c r="S167" s="525">
        <f t="shared" si="68"/>
        <v>-22926.010250117048</v>
      </c>
      <c r="T167" s="525">
        <f t="shared" si="68"/>
        <v>-23413.797702247102</v>
      </c>
      <c r="U167" s="525">
        <f t="shared" si="68"/>
        <v>-23901.585154377331</v>
      </c>
      <c r="V167" s="525">
        <f t="shared" si="68"/>
        <v>-31889.372606507444</v>
      </c>
      <c r="W167" s="525">
        <f t="shared" si="68"/>
        <v>-32527.160058637615</v>
      </c>
      <c r="X167" s="525">
        <f t="shared" si="68"/>
        <v>-33164.947510767612</v>
      </c>
      <c r="Y167" s="525">
        <f t="shared" si="68"/>
        <v>-33802.734962897899</v>
      </c>
      <c r="Z167" s="525">
        <f t="shared" si="68"/>
        <v>-34440.52241502807</v>
      </c>
      <c r="AA167" s="525">
        <f t="shared" si="68"/>
        <v>-35078.309867158125</v>
      </c>
      <c r="AB167" s="525">
        <f t="shared" si="68"/>
        <v>-35716.097319288296</v>
      </c>
      <c r="AC167" s="525">
        <f t="shared" si="68"/>
        <v>-2153.8847714185249</v>
      </c>
      <c r="AD167" s="525">
        <f t="shared" si="68"/>
        <v>79588.327776451362</v>
      </c>
      <c r="AE167" s="525">
        <f t="shared" si="68"/>
        <v>80960.540324321133</v>
      </c>
      <c r="AF167" s="525">
        <f t="shared" si="68"/>
        <v>82790.157054814277</v>
      </c>
      <c r="AG167" s="525">
        <f t="shared" si="68"/>
        <v>84619.773785307538</v>
      </c>
      <c r="AH167" s="525">
        <f t="shared" si="68"/>
        <v>86449.390515800682</v>
      </c>
    </row>
    <row r="168" spans="1:34" x14ac:dyDescent="0.2">
      <c r="A168" s="621" t="s">
        <v>291</v>
      </c>
      <c r="B168" s="622"/>
      <c r="C168" s="622"/>
      <c r="D168" s="622"/>
      <c r="E168" s="622"/>
      <c r="F168" s="622"/>
      <c r="G168" s="622"/>
      <c r="H168" s="622"/>
      <c r="I168" s="622"/>
      <c r="J168" s="622"/>
      <c r="K168" s="622"/>
      <c r="L168" s="622"/>
      <c r="M168" s="622"/>
      <c r="N168" s="622"/>
      <c r="O168" s="622"/>
      <c r="P168" s="622"/>
      <c r="Q168" s="622"/>
      <c r="R168" s="622"/>
      <c r="S168" s="622"/>
      <c r="T168" s="622"/>
      <c r="U168" s="622"/>
      <c r="V168" s="622"/>
      <c r="W168" s="622"/>
      <c r="X168" s="622"/>
      <c r="Y168" s="622"/>
      <c r="Z168" s="622"/>
      <c r="AA168" s="622"/>
      <c r="AB168" s="622"/>
      <c r="AC168" s="622"/>
      <c r="AD168" s="622"/>
      <c r="AE168" s="622"/>
      <c r="AF168" s="622"/>
      <c r="AG168" s="622"/>
      <c r="AH168" s="622"/>
    </row>
    <row r="169" spans="1:34" x14ac:dyDescent="0.2">
      <c r="A169" s="621" t="s">
        <v>299</v>
      </c>
      <c r="B169" s="622"/>
      <c r="C169" s="622"/>
      <c r="D169" s="622"/>
      <c r="E169" s="622"/>
      <c r="F169" s="622"/>
      <c r="G169" s="622"/>
      <c r="H169" s="622"/>
      <c r="I169" s="622"/>
      <c r="J169" s="622"/>
      <c r="K169" s="622"/>
      <c r="L169" s="622"/>
      <c r="M169" s="622"/>
      <c r="N169" s="622"/>
      <c r="O169" s="622"/>
      <c r="P169" s="622"/>
      <c r="Q169" s="622"/>
      <c r="R169" s="622"/>
      <c r="S169" s="622"/>
      <c r="T169" s="622"/>
      <c r="U169" s="622"/>
      <c r="V169" s="622"/>
      <c r="W169" s="622"/>
      <c r="X169" s="622"/>
      <c r="Y169" s="622"/>
      <c r="Z169" s="622"/>
      <c r="AA169" s="622"/>
      <c r="AB169" s="622"/>
      <c r="AC169" s="622"/>
      <c r="AD169" s="622"/>
      <c r="AE169" s="622"/>
      <c r="AF169" s="622"/>
      <c r="AG169" s="622"/>
      <c r="AH169" s="622"/>
    </row>
    <row r="170" spans="1:34" x14ac:dyDescent="0.2">
      <c r="A170" s="30" t="s">
        <v>596</v>
      </c>
      <c r="B170" s="524">
        <f t="shared" ref="B170:AH170" si="69">B88-B24</f>
        <v>0</v>
      </c>
      <c r="C170" s="524">
        <f t="shared" si="69"/>
        <v>0</v>
      </c>
      <c r="D170" s="524">
        <f t="shared" si="69"/>
        <v>0</v>
      </c>
      <c r="E170" s="524">
        <f t="shared" si="69"/>
        <v>0</v>
      </c>
      <c r="F170" s="524">
        <f t="shared" si="69"/>
        <v>0</v>
      </c>
      <c r="G170" s="524">
        <f t="shared" si="69"/>
        <v>0</v>
      </c>
      <c r="H170" s="524">
        <f t="shared" si="69"/>
        <v>0</v>
      </c>
      <c r="I170" s="524">
        <f t="shared" si="69"/>
        <v>0</v>
      </c>
      <c r="J170" s="524">
        <f t="shared" si="69"/>
        <v>0</v>
      </c>
      <c r="K170" s="524">
        <f t="shared" si="69"/>
        <v>0</v>
      </c>
      <c r="L170" s="524">
        <f t="shared" si="69"/>
        <v>0</v>
      </c>
      <c r="M170" s="524">
        <f t="shared" si="69"/>
        <v>0</v>
      </c>
      <c r="N170" s="524">
        <f t="shared" si="69"/>
        <v>0</v>
      </c>
      <c r="O170" s="524">
        <f t="shared" si="69"/>
        <v>0</v>
      </c>
      <c r="P170" s="524">
        <f t="shared" si="69"/>
        <v>0</v>
      </c>
      <c r="Q170" s="524">
        <f t="shared" si="69"/>
        <v>0</v>
      </c>
      <c r="R170" s="524">
        <f t="shared" si="69"/>
        <v>0</v>
      </c>
      <c r="S170" s="524">
        <f t="shared" si="69"/>
        <v>0</v>
      </c>
      <c r="T170" s="524">
        <f t="shared" si="69"/>
        <v>0</v>
      </c>
      <c r="U170" s="524">
        <f t="shared" si="69"/>
        <v>0</v>
      </c>
      <c r="V170" s="524">
        <f t="shared" si="69"/>
        <v>0</v>
      </c>
      <c r="W170" s="524">
        <f t="shared" si="69"/>
        <v>0</v>
      </c>
      <c r="X170" s="524">
        <f t="shared" si="69"/>
        <v>0</v>
      </c>
      <c r="Y170" s="524">
        <f t="shared" si="69"/>
        <v>0</v>
      </c>
      <c r="Z170" s="524">
        <f t="shared" si="69"/>
        <v>0</v>
      </c>
      <c r="AA170" s="524">
        <f t="shared" si="69"/>
        <v>0</v>
      </c>
      <c r="AB170" s="524">
        <f t="shared" si="69"/>
        <v>0</v>
      </c>
      <c r="AC170" s="524">
        <f t="shared" si="69"/>
        <v>0</v>
      </c>
      <c r="AD170" s="524">
        <f t="shared" si="69"/>
        <v>0</v>
      </c>
      <c r="AE170" s="524">
        <f t="shared" si="69"/>
        <v>0</v>
      </c>
      <c r="AF170" s="524">
        <f t="shared" si="69"/>
        <v>0</v>
      </c>
      <c r="AG170" s="524">
        <f t="shared" si="69"/>
        <v>0</v>
      </c>
      <c r="AH170" s="524">
        <f t="shared" si="69"/>
        <v>0</v>
      </c>
    </row>
    <row r="171" spans="1:34" x14ac:dyDescent="0.2">
      <c r="A171" s="30" t="s">
        <v>379</v>
      </c>
      <c r="B171" s="524">
        <f t="shared" ref="B171:AH171" si="70">B89-B25</f>
        <v>0</v>
      </c>
      <c r="C171" s="524">
        <f t="shared" si="70"/>
        <v>0</v>
      </c>
      <c r="D171" s="524">
        <f t="shared" si="70"/>
        <v>0</v>
      </c>
      <c r="E171" s="524">
        <f t="shared" si="70"/>
        <v>0</v>
      </c>
      <c r="F171" s="524">
        <f t="shared" si="70"/>
        <v>0</v>
      </c>
      <c r="G171" s="524">
        <f t="shared" si="70"/>
        <v>0</v>
      </c>
      <c r="H171" s="524">
        <f t="shared" si="70"/>
        <v>0</v>
      </c>
      <c r="I171" s="524">
        <f t="shared" si="70"/>
        <v>0</v>
      </c>
      <c r="J171" s="524">
        <f t="shared" si="70"/>
        <v>0</v>
      </c>
      <c r="K171" s="524">
        <f t="shared" si="70"/>
        <v>0</v>
      </c>
      <c r="L171" s="524">
        <f t="shared" si="70"/>
        <v>0</v>
      </c>
      <c r="M171" s="524">
        <f t="shared" si="70"/>
        <v>0</v>
      </c>
      <c r="N171" s="524">
        <f t="shared" si="70"/>
        <v>0</v>
      </c>
      <c r="O171" s="524">
        <f t="shared" si="70"/>
        <v>0</v>
      </c>
      <c r="P171" s="524">
        <f t="shared" si="70"/>
        <v>0</v>
      </c>
      <c r="Q171" s="524">
        <f t="shared" si="70"/>
        <v>0</v>
      </c>
      <c r="R171" s="524">
        <f t="shared" si="70"/>
        <v>0</v>
      </c>
      <c r="S171" s="524">
        <f t="shared" si="70"/>
        <v>0</v>
      </c>
      <c r="T171" s="524">
        <f t="shared" si="70"/>
        <v>0</v>
      </c>
      <c r="U171" s="524">
        <f t="shared" si="70"/>
        <v>0</v>
      </c>
      <c r="V171" s="524">
        <f t="shared" si="70"/>
        <v>0</v>
      </c>
      <c r="W171" s="524">
        <f t="shared" si="70"/>
        <v>0</v>
      </c>
      <c r="X171" s="524">
        <f t="shared" si="70"/>
        <v>0</v>
      </c>
      <c r="Y171" s="524">
        <f t="shared" si="70"/>
        <v>0</v>
      </c>
      <c r="Z171" s="524">
        <f t="shared" si="70"/>
        <v>0</v>
      </c>
      <c r="AA171" s="524">
        <f t="shared" si="70"/>
        <v>0</v>
      </c>
      <c r="AB171" s="524">
        <f t="shared" si="70"/>
        <v>0</v>
      </c>
      <c r="AC171" s="524">
        <f t="shared" si="70"/>
        <v>0</v>
      </c>
      <c r="AD171" s="524">
        <f t="shared" si="70"/>
        <v>0</v>
      </c>
      <c r="AE171" s="524">
        <f t="shared" si="70"/>
        <v>0</v>
      </c>
      <c r="AF171" s="524">
        <f t="shared" si="70"/>
        <v>0</v>
      </c>
      <c r="AG171" s="524">
        <f t="shared" si="70"/>
        <v>0</v>
      </c>
      <c r="AH171" s="524">
        <f t="shared" si="70"/>
        <v>0</v>
      </c>
    </row>
    <row r="172" spans="1:34" x14ac:dyDescent="0.2">
      <c r="A172" s="30" t="s">
        <v>597</v>
      </c>
      <c r="B172" s="524">
        <f t="shared" ref="B172:AH172" si="71">B90-B26</f>
        <v>0</v>
      </c>
      <c r="C172" s="524">
        <f t="shared" si="71"/>
        <v>0</v>
      </c>
      <c r="D172" s="524">
        <f t="shared" si="71"/>
        <v>0</v>
      </c>
      <c r="E172" s="524">
        <f t="shared" si="71"/>
        <v>0</v>
      </c>
      <c r="F172" s="524">
        <f t="shared" si="71"/>
        <v>0</v>
      </c>
      <c r="G172" s="524">
        <f t="shared" si="71"/>
        <v>0</v>
      </c>
      <c r="H172" s="524">
        <f t="shared" si="71"/>
        <v>0</v>
      </c>
      <c r="I172" s="524">
        <f t="shared" si="71"/>
        <v>0</v>
      </c>
      <c r="J172" s="524">
        <f t="shared" si="71"/>
        <v>0</v>
      </c>
      <c r="K172" s="524">
        <f t="shared" si="71"/>
        <v>0</v>
      </c>
      <c r="L172" s="524">
        <f t="shared" si="71"/>
        <v>0</v>
      </c>
      <c r="M172" s="524">
        <f t="shared" si="71"/>
        <v>0</v>
      </c>
      <c r="N172" s="524">
        <f t="shared" si="71"/>
        <v>0</v>
      </c>
      <c r="O172" s="524">
        <f t="shared" si="71"/>
        <v>0</v>
      </c>
      <c r="P172" s="524">
        <f t="shared" si="71"/>
        <v>0</v>
      </c>
      <c r="Q172" s="524">
        <f t="shared" si="71"/>
        <v>0</v>
      </c>
      <c r="R172" s="524">
        <f t="shared" si="71"/>
        <v>0</v>
      </c>
      <c r="S172" s="524">
        <f t="shared" si="71"/>
        <v>0</v>
      </c>
      <c r="T172" s="524">
        <f t="shared" si="71"/>
        <v>0</v>
      </c>
      <c r="U172" s="524">
        <f t="shared" si="71"/>
        <v>0</v>
      </c>
      <c r="V172" s="524">
        <f t="shared" si="71"/>
        <v>0</v>
      </c>
      <c r="W172" s="524">
        <f t="shared" si="71"/>
        <v>0</v>
      </c>
      <c r="X172" s="524">
        <f t="shared" si="71"/>
        <v>0</v>
      </c>
      <c r="Y172" s="524">
        <f t="shared" si="71"/>
        <v>0</v>
      </c>
      <c r="Z172" s="524">
        <f t="shared" si="71"/>
        <v>0</v>
      </c>
      <c r="AA172" s="524">
        <f t="shared" si="71"/>
        <v>0</v>
      </c>
      <c r="AB172" s="524">
        <f t="shared" si="71"/>
        <v>0</v>
      </c>
      <c r="AC172" s="524">
        <f t="shared" si="71"/>
        <v>0</v>
      </c>
      <c r="AD172" s="524">
        <f t="shared" si="71"/>
        <v>0</v>
      </c>
      <c r="AE172" s="524">
        <f t="shared" si="71"/>
        <v>0</v>
      </c>
      <c r="AF172" s="524">
        <f t="shared" si="71"/>
        <v>0</v>
      </c>
      <c r="AG172" s="524">
        <f t="shared" si="71"/>
        <v>0</v>
      </c>
      <c r="AH172" s="524">
        <f t="shared" si="71"/>
        <v>0</v>
      </c>
    </row>
    <row r="173" spans="1:34" x14ac:dyDescent="0.2">
      <c r="A173" s="621" t="s">
        <v>295</v>
      </c>
      <c r="B173" s="622"/>
      <c r="C173" s="622"/>
      <c r="D173" s="622"/>
      <c r="E173" s="622"/>
      <c r="F173" s="622"/>
      <c r="G173" s="622"/>
      <c r="H173" s="622"/>
      <c r="I173" s="622"/>
      <c r="J173" s="622"/>
      <c r="K173" s="622"/>
      <c r="L173" s="622"/>
      <c r="M173" s="622"/>
      <c r="N173" s="622"/>
      <c r="O173" s="622"/>
      <c r="P173" s="622"/>
      <c r="Q173" s="622"/>
      <c r="R173" s="622"/>
      <c r="S173" s="622"/>
      <c r="T173" s="622"/>
      <c r="U173" s="622"/>
      <c r="V173" s="622"/>
      <c r="W173" s="622"/>
      <c r="X173" s="622"/>
      <c r="Y173" s="622"/>
      <c r="Z173" s="622"/>
      <c r="AA173" s="622"/>
      <c r="AB173" s="622"/>
      <c r="AC173" s="622"/>
      <c r="AD173" s="622"/>
      <c r="AE173" s="622"/>
      <c r="AF173" s="622"/>
      <c r="AG173" s="622"/>
      <c r="AH173" s="622"/>
    </row>
    <row r="174" spans="1:34" x14ac:dyDescent="0.2">
      <c r="A174" s="30" t="s">
        <v>596</v>
      </c>
      <c r="B174" s="524">
        <f t="shared" ref="B174:AH174" si="72">B92-B28</f>
        <v>0</v>
      </c>
      <c r="C174" s="524">
        <f t="shared" si="72"/>
        <v>0</v>
      </c>
      <c r="D174" s="524">
        <f t="shared" si="72"/>
        <v>0</v>
      </c>
      <c r="E174" s="524">
        <f t="shared" si="72"/>
        <v>0</v>
      </c>
      <c r="F174" s="524">
        <f t="shared" si="72"/>
        <v>0</v>
      </c>
      <c r="G174" s="524">
        <f t="shared" si="72"/>
        <v>0</v>
      </c>
      <c r="H174" s="524">
        <f t="shared" si="72"/>
        <v>0</v>
      </c>
      <c r="I174" s="524">
        <f t="shared" si="72"/>
        <v>0</v>
      </c>
      <c r="J174" s="524">
        <f t="shared" si="72"/>
        <v>0</v>
      </c>
      <c r="K174" s="524">
        <f t="shared" si="72"/>
        <v>0</v>
      </c>
      <c r="L174" s="524">
        <f t="shared" si="72"/>
        <v>1782.2699999999895</v>
      </c>
      <c r="M174" s="524">
        <f t="shared" si="72"/>
        <v>3564.539999999979</v>
      </c>
      <c r="N174" s="524">
        <f t="shared" si="72"/>
        <v>5346.8100000000268</v>
      </c>
      <c r="O174" s="524">
        <f t="shared" si="72"/>
        <v>5346.8099999999977</v>
      </c>
      <c r="P174" s="524">
        <f t="shared" si="72"/>
        <v>5346.8099999999977</v>
      </c>
      <c r="Q174" s="524">
        <f t="shared" si="72"/>
        <v>5346.8099999999686</v>
      </c>
      <c r="R174" s="524">
        <f t="shared" si="72"/>
        <v>5346.8099999999977</v>
      </c>
      <c r="S174" s="524">
        <f t="shared" si="72"/>
        <v>5346.8100000000268</v>
      </c>
      <c r="T174" s="524">
        <f t="shared" si="72"/>
        <v>5346.8099999999977</v>
      </c>
      <c r="U174" s="524">
        <f t="shared" si="72"/>
        <v>5346.8099999999977</v>
      </c>
      <c r="V174" s="524">
        <f t="shared" si="72"/>
        <v>5346.8099999999977</v>
      </c>
      <c r="W174" s="524">
        <f t="shared" si="72"/>
        <v>5346.8099999999977</v>
      </c>
      <c r="X174" s="524">
        <f t="shared" si="72"/>
        <v>5346.8099999999977</v>
      </c>
      <c r="Y174" s="524">
        <f t="shared" si="72"/>
        <v>5346.8099999999977</v>
      </c>
      <c r="Z174" s="524">
        <f t="shared" si="72"/>
        <v>5346.8099999999977</v>
      </c>
      <c r="AA174" s="524">
        <f t="shared" si="72"/>
        <v>5346.8099999999977</v>
      </c>
      <c r="AB174" s="524">
        <f t="shared" si="72"/>
        <v>7129.0800000000163</v>
      </c>
      <c r="AC174" s="524">
        <f t="shared" si="72"/>
        <v>8911.3500000000349</v>
      </c>
      <c r="AD174" s="524">
        <f t="shared" si="72"/>
        <v>10693.620000000054</v>
      </c>
      <c r="AE174" s="524">
        <f t="shared" si="72"/>
        <v>12475.890000000014</v>
      </c>
      <c r="AF174" s="524">
        <f t="shared" si="72"/>
        <v>12475.890000000014</v>
      </c>
      <c r="AG174" s="524">
        <f t="shared" si="72"/>
        <v>12475.889999999956</v>
      </c>
      <c r="AH174" s="524">
        <f t="shared" si="72"/>
        <v>12475.890000000014</v>
      </c>
    </row>
    <row r="175" spans="1:34" x14ac:dyDescent="0.2">
      <c r="A175" s="30" t="s">
        <v>379</v>
      </c>
      <c r="B175" s="524">
        <f t="shared" ref="B175:AH175" si="73">B93-B29</f>
        <v>0</v>
      </c>
      <c r="C175" s="524">
        <f t="shared" si="73"/>
        <v>0</v>
      </c>
      <c r="D175" s="524">
        <f t="shared" si="73"/>
        <v>0</v>
      </c>
      <c r="E175" s="524">
        <f t="shared" si="73"/>
        <v>0</v>
      </c>
      <c r="F175" s="524">
        <f t="shared" si="73"/>
        <v>0</v>
      </c>
      <c r="G175" s="524">
        <f t="shared" si="73"/>
        <v>0</v>
      </c>
      <c r="H175" s="524">
        <f t="shared" si="73"/>
        <v>0</v>
      </c>
      <c r="I175" s="524">
        <f t="shared" si="73"/>
        <v>0</v>
      </c>
      <c r="J175" s="524">
        <f t="shared" si="73"/>
        <v>0</v>
      </c>
      <c r="K175" s="524">
        <f t="shared" si="73"/>
        <v>0</v>
      </c>
      <c r="L175" s="524">
        <f t="shared" si="73"/>
        <v>429.34884299999976</v>
      </c>
      <c r="M175" s="524">
        <f t="shared" si="73"/>
        <v>858.69768599999225</v>
      </c>
      <c r="N175" s="524">
        <f t="shared" si="73"/>
        <v>1288.0465290000066</v>
      </c>
      <c r="O175" s="524">
        <f t="shared" si="73"/>
        <v>1288.0465289999993</v>
      </c>
      <c r="P175" s="524">
        <f t="shared" si="73"/>
        <v>1288.0465289999993</v>
      </c>
      <c r="Q175" s="524">
        <f t="shared" si="73"/>
        <v>1288.046528999992</v>
      </c>
      <c r="R175" s="524">
        <f t="shared" si="73"/>
        <v>1288.0465289999993</v>
      </c>
      <c r="S175" s="524">
        <f t="shared" si="73"/>
        <v>1288.0465290000066</v>
      </c>
      <c r="T175" s="524">
        <f t="shared" si="73"/>
        <v>1288.0465289999993</v>
      </c>
      <c r="U175" s="524">
        <f t="shared" si="73"/>
        <v>1288.0465289999993</v>
      </c>
      <c r="V175" s="524">
        <f t="shared" si="73"/>
        <v>1288.0465290000066</v>
      </c>
      <c r="W175" s="524">
        <f t="shared" si="73"/>
        <v>1288.0465289999993</v>
      </c>
      <c r="X175" s="524">
        <f t="shared" si="73"/>
        <v>1288.0465289999993</v>
      </c>
      <c r="Y175" s="524">
        <f t="shared" si="73"/>
        <v>1288.0465289999993</v>
      </c>
      <c r="Z175" s="524">
        <f t="shared" si="73"/>
        <v>1288.0465289999993</v>
      </c>
      <c r="AA175" s="524">
        <f t="shared" si="73"/>
        <v>1288.0465289999993</v>
      </c>
      <c r="AB175" s="524">
        <f t="shared" si="73"/>
        <v>1717.395371999999</v>
      </c>
      <c r="AC175" s="524">
        <f t="shared" si="73"/>
        <v>2146.7442149999988</v>
      </c>
      <c r="AD175" s="524">
        <f t="shared" si="73"/>
        <v>2576.0930580000131</v>
      </c>
      <c r="AE175" s="524">
        <f t="shared" si="73"/>
        <v>3005.4419009999983</v>
      </c>
      <c r="AF175" s="524">
        <f t="shared" si="73"/>
        <v>3005.4419009999983</v>
      </c>
      <c r="AG175" s="524">
        <f t="shared" si="73"/>
        <v>3005.4419009999983</v>
      </c>
      <c r="AH175" s="524">
        <f t="shared" si="73"/>
        <v>3005.4419009999983</v>
      </c>
    </row>
    <row r="176" spans="1:34" x14ac:dyDescent="0.2">
      <c r="A176" s="30" t="s">
        <v>597</v>
      </c>
      <c r="B176" s="524">
        <f t="shared" ref="B176:AH176" si="74">B94-B30</f>
        <v>0</v>
      </c>
      <c r="C176" s="524">
        <f t="shared" si="74"/>
        <v>0</v>
      </c>
      <c r="D176" s="524">
        <f t="shared" si="74"/>
        <v>0</v>
      </c>
      <c r="E176" s="524">
        <f t="shared" si="74"/>
        <v>0</v>
      </c>
      <c r="F176" s="524">
        <f t="shared" si="74"/>
        <v>0</v>
      </c>
      <c r="G176" s="524">
        <f t="shared" si="74"/>
        <v>0</v>
      </c>
      <c r="H176" s="524">
        <f t="shared" si="74"/>
        <v>0</v>
      </c>
      <c r="I176" s="524">
        <f t="shared" si="74"/>
        <v>0</v>
      </c>
      <c r="J176" s="524">
        <f t="shared" si="74"/>
        <v>0</v>
      </c>
      <c r="K176" s="524">
        <f t="shared" si="74"/>
        <v>0</v>
      </c>
      <c r="L176" s="524">
        <f t="shared" si="74"/>
        <v>0</v>
      </c>
      <c r="M176" s="524">
        <f t="shared" si="74"/>
        <v>0</v>
      </c>
      <c r="N176" s="524">
        <f t="shared" si="74"/>
        <v>0</v>
      </c>
      <c r="O176" s="524">
        <f t="shared" si="74"/>
        <v>0</v>
      </c>
      <c r="P176" s="524">
        <f t="shared" si="74"/>
        <v>0</v>
      </c>
      <c r="Q176" s="524">
        <f t="shared" si="74"/>
        <v>0</v>
      </c>
      <c r="R176" s="524">
        <f t="shared" si="74"/>
        <v>0</v>
      </c>
      <c r="S176" s="524">
        <f t="shared" si="74"/>
        <v>0</v>
      </c>
      <c r="T176" s="524">
        <f t="shared" si="74"/>
        <v>0</v>
      </c>
      <c r="U176" s="524">
        <f t="shared" si="74"/>
        <v>0</v>
      </c>
      <c r="V176" s="524">
        <f t="shared" si="74"/>
        <v>0</v>
      </c>
      <c r="W176" s="524">
        <f t="shared" si="74"/>
        <v>0</v>
      </c>
      <c r="X176" s="524">
        <f t="shared" si="74"/>
        <v>0</v>
      </c>
      <c r="Y176" s="524">
        <f t="shared" si="74"/>
        <v>0</v>
      </c>
      <c r="Z176" s="524">
        <f t="shared" si="74"/>
        <v>0</v>
      </c>
      <c r="AA176" s="524">
        <f t="shared" si="74"/>
        <v>0</v>
      </c>
      <c r="AB176" s="524">
        <f t="shared" si="74"/>
        <v>0</v>
      </c>
      <c r="AC176" s="524">
        <f t="shared" si="74"/>
        <v>0</v>
      </c>
      <c r="AD176" s="524">
        <f t="shared" si="74"/>
        <v>0</v>
      </c>
      <c r="AE176" s="524">
        <f t="shared" si="74"/>
        <v>0</v>
      </c>
      <c r="AF176" s="524">
        <f t="shared" si="74"/>
        <v>0</v>
      </c>
      <c r="AG176" s="524">
        <f t="shared" si="74"/>
        <v>0</v>
      </c>
      <c r="AH176" s="524">
        <f t="shared" si="74"/>
        <v>0</v>
      </c>
    </row>
    <row r="177" spans="1:34" x14ac:dyDescent="0.2">
      <c r="A177" s="523" t="s">
        <v>58</v>
      </c>
      <c r="B177" s="525">
        <f>SUM(B170:B176)</f>
        <v>0</v>
      </c>
      <c r="C177" s="525">
        <f t="shared" ref="C177:AG177" si="75">SUM(C170:C176)</f>
        <v>0</v>
      </c>
      <c r="D177" s="525">
        <f t="shared" si="75"/>
        <v>0</v>
      </c>
      <c r="E177" s="525">
        <f t="shared" si="75"/>
        <v>0</v>
      </c>
      <c r="F177" s="525">
        <f t="shared" si="75"/>
        <v>0</v>
      </c>
      <c r="G177" s="525">
        <f t="shared" si="75"/>
        <v>0</v>
      </c>
      <c r="H177" s="525">
        <f t="shared" si="75"/>
        <v>0</v>
      </c>
      <c r="I177" s="525">
        <f t="shared" si="75"/>
        <v>0</v>
      </c>
      <c r="J177" s="525">
        <f t="shared" si="75"/>
        <v>0</v>
      </c>
      <c r="K177" s="525">
        <f t="shared" si="75"/>
        <v>0</v>
      </c>
      <c r="L177" s="525">
        <f t="shared" si="75"/>
        <v>2211.6188429999893</v>
      </c>
      <c r="M177" s="525">
        <f t="shared" si="75"/>
        <v>4423.2376859999713</v>
      </c>
      <c r="N177" s="525">
        <f t="shared" si="75"/>
        <v>6634.8565290000333</v>
      </c>
      <c r="O177" s="525">
        <f t="shared" si="75"/>
        <v>6634.856528999997</v>
      </c>
      <c r="P177" s="525">
        <f t="shared" si="75"/>
        <v>6634.856528999997</v>
      </c>
      <c r="Q177" s="525">
        <f t="shared" si="75"/>
        <v>6634.8565289999606</v>
      </c>
      <c r="R177" s="525">
        <f t="shared" si="75"/>
        <v>6634.856528999997</v>
      </c>
      <c r="S177" s="525">
        <f t="shared" si="75"/>
        <v>6634.8565290000333</v>
      </c>
      <c r="T177" s="525">
        <f t="shared" si="75"/>
        <v>6634.856528999997</v>
      </c>
      <c r="U177" s="525">
        <f t="shared" si="75"/>
        <v>6634.856528999997</v>
      </c>
      <c r="V177" s="525">
        <f t="shared" si="75"/>
        <v>6634.8565290000042</v>
      </c>
      <c r="W177" s="525">
        <f t="shared" si="75"/>
        <v>6634.856528999997</v>
      </c>
      <c r="X177" s="525">
        <f t="shared" si="75"/>
        <v>6634.856528999997</v>
      </c>
      <c r="Y177" s="525">
        <f t="shared" si="75"/>
        <v>6634.856528999997</v>
      </c>
      <c r="Z177" s="525">
        <f t="shared" si="75"/>
        <v>6634.856528999997</v>
      </c>
      <c r="AA177" s="525">
        <f t="shared" si="75"/>
        <v>6634.856528999997</v>
      </c>
      <c r="AB177" s="525">
        <f t="shared" si="75"/>
        <v>8846.4753720000153</v>
      </c>
      <c r="AC177" s="525">
        <f t="shared" si="75"/>
        <v>11058.094215000034</v>
      </c>
      <c r="AD177" s="525">
        <f t="shared" si="75"/>
        <v>13269.713058000067</v>
      </c>
      <c r="AE177" s="525">
        <f t="shared" si="75"/>
        <v>15481.331901000012</v>
      </c>
      <c r="AF177" s="525">
        <f t="shared" si="75"/>
        <v>15481.331901000012</v>
      </c>
      <c r="AG177" s="525">
        <f t="shared" si="75"/>
        <v>15481.331900999954</v>
      </c>
      <c r="AH177" s="525">
        <f>SUM(AH170:AH176)</f>
        <v>15481.331901000012</v>
      </c>
    </row>
    <row r="178" spans="1:34" ht="12" customHeight="1" x14ac:dyDescent="0.2">
      <c r="A178" s="523" t="s">
        <v>540</v>
      </c>
      <c r="B178" s="525">
        <f>SUM(B167,B177)</f>
        <v>0</v>
      </c>
      <c r="C178" s="525">
        <f t="shared" ref="C178:AG178" si="76">SUM(C167,C177)</f>
        <v>400.19395739687025</v>
      </c>
      <c r="D178" s="525">
        <f t="shared" si="76"/>
        <v>573.10452628112398</v>
      </c>
      <c r="E178" s="525">
        <f t="shared" si="76"/>
        <v>1484.5089233697508</v>
      </c>
      <c r="F178" s="525">
        <f t="shared" si="76"/>
        <v>2264.0810409458063</v>
      </c>
      <c r="G178" s="525">
        <f t="shared" si="76"/>
        <v>3067.0284538077249</v>
      </c>
      <c r="H178" s="525">
        <f t="shared" si="76"/>
        <v>3122.9368190543028</v>
      </c>
      <c r="I178" s="525">
        <f t="shared" si="76"/>
        <v>3178.8851843008597</v>
      </c>
      <c r="J178" s="525">
        <f t="shared" si="76"/>
        <v>3233.6935495474609</v>
      </c>
      <c r="K178" s="525">
        <f t="shared" si="76"/>
        <v>3288.5019147940329</v>
      </c>
      <c r="L178" s="525">
        <f t="shared" si="76"/>
        <v>5554.9291230405361</v>
      </c>
      <c r="M178" s="525">
        <f t="shared" si="76"/>
        <v>7821.3563312871484</v>
      </c>
      <c r="N178" s="525">
        <f t="shared" si="76"/>
        <v>10087.783539533724</v>
      </c>
      <c r="O178" s="525">
        <f t="shared" si="76"/>
        <v>10169.996087403517</v>
      </c>
      <c r="P178" s="525">
        <f t="shared" si="76"/>
        <v>10252.208635273462</v>
      </c>
      <c r="Q178" s="525">
        <f t="shared" si="76"/>
        <v>10334.421183143313</v>
      </c>
      <c r="R178" s="525">
        <f t="shared" si="76"/>
        <v>-15803.36626898688</v>
      </c>
      <c r="S178" s="525">
        <f t="shared" si="76"/>
        <v>-16291.153721117014</v>
      </c>
      <c r="T178" s="525">
        <f t="shared" si="76"/>
        <v>-16778.941173247105</v>
      </c>
      <c r="U178" s="525">
        <f t="shared" si="76"/>
        <v>-17266.728625377335</v>
      </c>
      <c r="V178" s="525">
        <f t="shared" si="76"/>
        <v>-25254.51607750744</v>
      </c>
      <c r="W178" s="525">
        <f t="shared" si="76"/>
        <v>-25892.303529637618</v>
      </c>
      <c r="X178" s="525">
        <f t="shared" si="76"/>
        <v>-26530.090981767615</v>
      </c>
      <c r="Y178" s="525">
        <f t="shared" si="76"/>
        <v>-27167.878433897902</v>
      </c>
      <c r="Z178" s="525">
        <f t="shared" si="76"/>
        <v>-27805.665886028073</v>
      </c>
      <c r="AA178" s="525">
        <f t="shared" si="76"/>
        <v>-28443.453338158128</v>
      </c>
      <c r="AB178" s="525">
        <f t="shared" si="76"/>
        <v>-26869.62194728828</v>
      </c>
      <c r="AC178" s="525">
        <f t="shared" si="76"/>
        <v>8904.2094435815088</v>
      </c>
      <c r="AD178" s="525">
        <f t="shared" si="76"/>
        <v>92858.040834451429</v>
      </c>
      <c r="AE178" s="525">
        <f t="shared" si="76"/>
        <v>96441.872225321145</v>
      </c>
      <c r="AF178" s="525">
        <f t="shared" si="76"/>
        <v>98271.48895581429</v>
      </c>
      <c r="AG178" s="525">
        <f t="shared" si="76"/>
        <v>100101.10568630749</v>
      </c>
      <c r="AH178" s="525">
        <f>SUM(AH167,AH177)</f>
        <v>101930.72241680069</v>
      </c>
    </row>
    <row r="179" spans="1:34" ht="12" customHeight="1" x14ac:dyDescent="0.2">
      <c r="A179" s="621"/>
      <c r="B179" s="622"/>
      <c r="C179" s="622"/>
      <c r="D179" s="622"/>
      <c r="E179" s="622"/>
      <c r="F179" s="622"/>
      <c r="G179" s="622"/>
      <c r="H179" s="622"/>
      <c r="I179" s="622"/>
      <c r="J179" s="622"/>
      <c r="K179" s="622"/>
      <c r="L179" s="622"/>
      <c r="M179" s="622"/>
      <c r="N179" s="622"/>
      <c r="O179" s="622"/>
      <c r="P179" s="622"/>
      <c r="Q179" s="622"/>
      <c r="R179" s="622"/>
      <c r="S179" s="622"/>
      <c r="T179" s="622"/>
      <c r="U179" s="622"/>
      <c r="V179" s="622"/>
      <c r="W179" s="622"/>
      <c r="X179" s="622"/>
      <c r="Y179" s="622"/>
      <c r="Z179" s="622"/>
      <c r="AA179" s="622"/>
      <c r="AB179" s="622"/>
      <c r="AC179" s="622"/>
      <c r="AD179" s="622"/>
      <c r="AE179" s="622"/>
      <c r="AF179" s="622"/>
      <c r="AG179" s="622"/>
      <c r="AH179" s="622"/>
    </row>
    <row r="180" spans="1:34" ht="12" customHeight="1" x14ac:dyDescent="0.2">
      <c r="A180" s="621" t="s">
        <v>59</v>
      </c>
      <c r="B180" s="622"/>
      <c r="C180" s="622"/>
      <c r="D180" s="622"/>
      <c r="E180" s="622"/>
      <c r="F180" s="622"/>
      <c r="G180" s="622"/>
      <c r="H180" s="622"/>
      <c r="I180" s="622"/>
      <c r="J180" s="622"/>
      <c r="K180" s="622"/>
      <c r="L180" s="622"/>
      <c r="M180" s="622"/>
      <c r="N180" s="622"/>
      <c r="O180" s="622"/>
      <c r="P180" s="622"/>
      <c r="Q180" s="622"/>
      <c r="R180" s="622"/>
      <c r="S180" s="622"/>
      <c r="T180" s="622"/>
      <c r="U180" s="622"/>
      <c r="V180" s="622"/>
      <c r="W180" s="622"/>
      <c r="X180" s="622"/>
      <c r="Y180" s="622"/>
      <c r="Z180" s="622"/>
      <c r="AA180" s="622"/>
      <c r="AB180" s="622"/>
      <c r="AC180" s="622"/>
      <c r="AD180" s="622"/>
      <c r="AE180" s="622"/>
      <c r="AF180" s="622"/>
      <c r="AG180" s="622"/>
      <c r="AH180" s="622"/>
    </row>
    <row r="181" spans="1:34" ht="12" customHeight="1" x14ac:dyDescent="0.2">
      <c r="A181" s="621" t="s">
        <v>299</v>
      </c>
      <c r="B181" s="622"/>
      <c r="C181" s="622"/>
      <c r="D181" s="622"/>
      <c r="E181" s="622"/>
      <c r="F181" s="622"/>
      <c r="G181" s="622"/>
      <c r="H181" s="622"/>
      <c r="I181" s="622"/>
      <c r="J181" s="622"/>
      <c r="K181" s="622"/>
      <c r="L181" s="622"/>
      <c r="M181" s="622"/>
      <c r="N181" s="622"/>
      <c r="O181" s="622"/>
      <c r="P181" s="622"/>
      <c r="Q181" s="622"/>
      <c r="R181" s="622"/>
      <c r="S181" s="622"/>
      <c r="T181" s="622"/>
      <c r="U181" s="622"/>
      <c r="V181" s="622"/>
      <c r="W181" s="622"/>
      <c r="X181" s="622"/>
      <c r="Y181" s="622"/>
      <c r="Z181" s="622"/>
      <c r="AA181" s="622"/>
      <c r="AB181" s="622"/>
      <c r="AC181" s="622"/>
      <c r="AD181" s="622"/>
      <c r="AE181" s="622"/>
      <c r="AF181" s="622"/>
      <c r="AG181" s="622"/>
      <c r="AH181" s="622"/>
    </row>
    <row r="182" spans="1:34" x14ac:dyDescent="0.2">
      <c r="A182" s="30" t="s">
        <v>586</v>
      </c>
      <c r="B182" s="524">
        <v>0</v>
      </c>
      <c r="C182" s="524">
        <v>0</v>
      </c>
      <c r="D182" s="524">
        <f t="shared" ref="D182:AH182" si="77">D100-D36</f>
        <v>682.00790977443103</v>
      </c>
      <c r="E182" s="524">
        <f t="shared" si="77"/>
        <v>1036.1386208377662</v>
      </c>
      <c r="F182" s="524">
        <f t="shared" si="77"/>
        <v>688.86299355537631</v>
      </c>
      <c r="G182" s="524">
        <f t="shared" si="77"/>
        <v>922.17893018259201</v>
      </c>
      <c r="H182" s="524">
        <f t="shared" si="77"/>
        <v>922.17893018259201</v>
      </c>
      <c r="I182" s="524">
        <f t="shared" si="77"/>
        <v>691.63419763691491</v>
      </c>
      <c r="J182" s="524">
        <f t="shared" si="77"/>
        <v>922.17893018259201</v>
      </c>
      <c r="K182" s="524">
        <f t="shared" si="77"/>
        <v>922.17893018259201</v>
      </c>
      <c r="L182" s="524">
        <f t="shared" si="77"/>
        <v>922.17893018262112</v>
      </c>
      <c r="M182" s="524">
        <f t="shared" si="77"/>
        <v>922.17893018262112</v>
      </c>
      <c r="N182" s="524">
        <f t="shared" si="77"/>
        <v>691.63419763691491</v>
      </c>
      <c r="O182" s="524">
        <f t="shared" si="77"/>
        <v>691.63419763691491</v>
      </c>
      <c r="P182" s="524">
        <f t="shared" si="77"/>
        <v>691.63419763697311</v>
      </c>
      <c r="Q182" s="524">
        <f t="shared" si="77"/>
        <v>691.63419763697311</v>
      </c>
      <c r="R182" s="524">
        <f t="shared" si="77"/>
        <v>-3227.6262556391011</v>
      </c>
      <c r="S182" s="524">
        <f t="shared" si="77"/>
        <v>-461.08946509129601</v>
      </c>
      <c r="T182" s="524">
        <f t="shared" si="77"/>
        <v>-3458.1709881847491</v>
      </c>
      <c r="U182" s="524">
        <f t="shared" si="77"/>
        <v>-3458.1709881846909</v>
      </c>
      <c r="V182" s="524">
        <f t="shared" si="77"/>
        <v>-3458.1709881847491</v>
      </c>
      <c r="W182" s="524">
        <f t="shared" si="77"/>
        <v>-3458.1709881847491</v>
      </c>
      <c r="X182" s="524">
        <f t="shared" si="77"/>
        <v>-3688.7157207304263</v>
      </c>
      <c r="Y182" s="524">
        <f t="shared" si="77"/>
        <v>-3688.715720730368</v>
      </c>
      <c r="Z182" s="524">
        <f t="shared" si="77"/>
        <v>-3919.2604532760452</v>
      </c>
      <c r="AA182" s="524">
        <f t="shared" si="77"/>
        <v>-3919.2604532761034</v>
      </c>
      <c r="AB182" s="524">
        <f t="shared" si="77"/>
        <v>-4149.8051858217223</v>
      </c>
      <c r="AC182" s="524">
        <f t="shared" si="77"/>
        <v>-3919.2604532760452</v>
      </c>
      <c r="AD182" s="524">
        <f t="shared" si="77"/>
        <v>10835.602429645543</v>
      </c>
      <c r="AE182" s="524">
        <f t="shared" si="77"/>
        <v>10835.602429645543</v>
      </c>
      <c r="AF182" s="524">
        <f t="shared" si="77"/>
        <v>4610.8946509130183</v>
      </c>
      <c r="AG182" s="524">
        <f t="shared" si="77"/>
        <v>4610.8946509129601</v>
      </c>
      <c r="AH182" s="524">
        <f t="shared" si="77"/>
        <v>4610.8946509129601</v>
      </c>
    </row>
    <row r="183" spans="1:34" x14ac:dyDescent="0.2">
      <c r="A183" s="30" t="s">
        <v>587</v>
      </c>
      <c r="B183" s="524">
        <v>0</v>
      </c>
      <c r="C183" s="524">
        <v>0</v>
      </c>
      <c r="D183" s="524">
        <f t="shared" ref="D183:AH183" si="78">D101-D37</f>
        <v>78.432000000000698</v>
      </c>
      <c r="E183" s="524">
        <f t="shared" si="78"/>
        <v>52.288000000000466</v>
      </c>
      <c r="F183" s="524">
        <f t="shared" si="78"/>
        <v>78.432000000004336</v>
      </c>
      <c r="G183" s="524">
        <f t="shared" si="78"/>
        <v>104.57600000000093</v>
      </c>
      <c r="H183" s="524">
        <f t="shared" si="78"/>
        <v>104.57600000000093</v>
      </c>
      <c r="I183" s="524">
        <f t="shared" si="78"/>
        <v>78.431999999997061</v>
      </c>
      <c r="J183" s="524">
        <f t="shared" si="78"/>
        <v>104.57600000000093</v>
      </c>
      <c r="K183" s="524">
        <f t="shared" si="78"/>
        <v>104.57600000000093</v>
      </c>
      <c r="L183" s="524">
        <f t="shared" si="78"/>
        <v>104.57600000000093</v>
      </c>
      <c r="M183" s="524">
        <f t="shared" si="78"/>
        <v>104.57600000000093</v>
      </c>
      <c r="N183" s="524">
        <f t="shared" si="78"/>
        <v>78.431999999997061</v>
      </c>
      <c r="O183" s="524">
        <f t="shared" si="78"/>
        <v>78.431999999997061</v>
      </c>
      <c r="P183" s="524">
        <f t="shared" si="78"/>
        <v>78.432000000004336</v>
      </c>
      <c r="Q183" s="524">
        <f t="shared" si="78"/>
        <v>78.432000000004336</v>
      </c>
      <c r="R183" s="524">
        <f t="shared" si="78"/>
        <v>-366.01599999999962</v>
      </c>
      <c r="S183" s="524">
        <f t="shared" si="78"/>
        <v>-52.288000000000466</v>
      </c>
      <c r="T183" s="524">
        <f t="shared" si="78"/>
        <v>-392.15999999999985</v>
      </c>
      <c r="U183" s="524">
        <f t="shared" si="78"/>
        <v>-392.15999999999985</v>
      </c>
      <c r="V183" s="524">
        <f t="shared" si="78"/>
        <v>-392.16000000000349</v>
      </c>
      <c r="W183" s="524">
        <f t="shared" si="78"/>
        <v>-392.15999999999622</v>
      </c>
      <c r="X183" s="524">
        <f t="shared" si="78"/>
        <v>-418.30400000000009</v>
      </c>
      <c r="Y183" s="524">
        <f t="shared" si="78"/>
        <v>-418.30400000000373</v>
      </c>
      <c r="Z183" s="524">
        <f t="shared" si="78"/>
        <v>-444.44799999999668</v>
      </c>
      <c r="AA183" s="524">
        <f t="shared" si="78"/>
        <v>-444.44800000000396</v>
      </c>
      <c r="AB183" s="524">
        <f t="shared" si="78"/>
        <v>-470.59200000000419</v>
      </c>
      <c r="AC183" s="524">
        <f t="shared" si="78"/>
        <v>-444.44799999999668</v>
      </c>
      <c r="AD183" s="524">
        <f t="shared" si="78"/>
        <v>1228.7680000000037</v>
      </c>
      <c r="AE183" s="524">
        <f t="shared" si="78"/>
        <v>1228.7680000000037</v>
      </c>
      <c r="AF183" s="524">
        <f t="shared" si="78"/>
        <v>522.87999999999738</v>
      </c>
      <c r="AG183" s="524">
        <f t="shared" si="78"/>
        <v>522.8799999999901</v>
      </c>
      <c r="AH183" s="524">
        <f t="shared" si="78"/>
        <v>522.88000000000466</v>
      </c>
    </row>
    <row r="184" spans="1:34" x14ac:dyDescent="0.2">
      <c r="A184" s="30" t="s">
        <v>588</v>
      </c>
      <c r="B184" s="524">
        <v>0</v>
      </c>
      <c r="C184" s="524">
        <v>0</v>
      </c>
      <c r="D184" s="524">
        <f t="shared" ref="D184:AH184" si="79">D102-D38</f>
        <v>275.20500000000175</v>
      </c>
      <c r="E184" s="524">
        <f t="shared" si="79"/>
        <v>183.47000000000116</v>
      </c>
      <c r="F184" s="524">
        <f t="shared" si="79"/>
        <v>275.2050000000163</v>
      </c>
      <c r="G184" s="524">
        <f t="shared" si="79"/>
        <v>366.93999999998778</v>
      </c>
      <c r="H184" s="524">
        <f t="shared" si="79"/>
        <v>366.94000000000233</v>
      </c>
      <c r="I184" s="524">
        <f t="shared" si="79"/>
        <v>275.20499999998719</v>
      </c>
      <c r="J184" s="524">
        <f t="shared" si="79"/>
        <v>366.94000000000233</v>
      </c>
      <c r="K184" s="524">
        <f t="shared" si="79"/>
        <v>366.94000000000233</v>
      </c>
      <c r="L184" s="524">
        <f t="shared" si="79"/>
        <v>366.94000000000233</v>
      </c>
      <c r="M184" s="524">
        <f t="shared" si="79"/>
        <v>366.94000000000233</v>
      </c>
      <c r="N184" s="524">
        <f t="shared" si="79"/>
        <v>275.20500000000175</v>
      </c>
      <c r="O184" s="524">
        <f t="shared" si="79"/>
        <v>275.20499999998719</v>
      </c>
      <c r="P184" s="524">
        <f t="shared" si="79"/>
        <v>275.2050000000163</v>
      </c>
      <c r="Q184" s="524">
        <f t="shared" si="79"/>
        <v>275.20500000000175</v>
      </c>
      <c r="R184" s="524">
        <f t="shared" si="79"/>
        <v>-1284.2900000000081</v>
      </c>
      <c r="S184" s="524">
        <f t="shared" si="79"/>
        <v>-183.47000000000116</v>
      </c>
      <c r="T184" s="524">
        <f t="shared" si="79"/>
        <v>-1376.0249999999942</v>
      </c>
      <c r="U184" s="524">
        <f t="shared" si="79"/>
        <v>-1376.0249999999942</v>
      </c>
      <c r="V184" s="524">
        <f t="shared" si="79"/>
        <v>-1376.0250000000233</v>
      </c>
      <c r="W184" s="524">
        <f t="shared" si="79"/>
        <v>-1376.0249999999942</v>
      </c>
      <c r="X184" s="524">
        <f t="shared" si="79"/>
        <v>-1467.7600000000093</v>
      </c>
      <c r="Y184" s="524">
        <f t="shared" si="79"/>
        <v>-1467.7600000000093</v>
      </c>
      <c r="Z184" s="524">
        <f t="shared" si="79"/>
        <v>-1559.4949999999808</v>
      </c>
      <c r="AA184" s="524">
        <f t="shared" si="79"/>
        <v>-1559.4950000000099</v>
      </c>
      <c r="AB184" s="524">
        <f t="shared" si="79"/>
        <v>-1651.2300000000105</v>
      </c>
      <c r="AC184" s="524">
        <f t="shared" si="79"/>
        <v>-1559.4949999999953</v>
      </c>
      <c r="AD184" s="524">
        <f t="shared" si="79"/>
        <v>4311.5450000000274</v>
      </c>
      <c r="AE184" s="524">
        <f t="shared" si="79"/>
        <v>4311.5449999999837</v>
      </c>
      <c r="AF184" s="524">
        <f t="shared" si="79"/>
        <v>1834.6999999999825</v>
      </c>
      <c r="AG184" s="524">
        <f t="shared" si="79"/>
        <v>1834.6999999999825</v>
      </c>
      <c r="AH184" s="524">
        <f t="shared" si="79"/>
        <v>1834.7000000000116</v>
      </c>
    </row>
    <row r="185" spans="1:34" x14ac:dyDescent="0.2">
      <c r="A185" s="523" t="s">
        <v>60</v>
      </c>
      <c r="B185" s="525">
        <f t="shared" ref="B185:AG185" si="80">SUM(B182:B184)</f>
        <v>0</v>
      </c>
      <c r="C185" s="525">
        <f t="shared" si="80"/>
        <v>0</v>
      </c>
      <c r="D185" s="525">
        <f t="shared" si="80"/>
        <v>1035.6449097744335</v>
      </c>
      <c r="E185" s="525">
        <f t="shared" si="80"/>
        <v>1271.8966208377678</v>
      </c>
      <c r="F185" s="525">
        <f t="shared" si="80"/>
        <v>1042.4999935553969</v>
      </c>
      <c r="G185" s="525">
        <f t="shared" si="80"/>
        <v>1393.6949301825807</v>
      </c>
      <c r="H185" s="525">
        <f t="shared" si="80"/>
        <v>1393.6949301825953</v>
      </c>
      <c r="I185" s="525">
        <f t="shared" si="80"/>
        <v>1045.2711976368992</v>
      </c>
      <c r="J185" s="525">
        <f t="shared" si="80"/>
        <v>1393.6949301825953</v>
      </c>
      <c r="K185" s="525">
        <f t="shared" si="80"/>
        <v>1393.6949301825953</v>
      </c>
      <c r="L185" s="525">
        <f t="shared" si="80"/>
        <v>1393.6949301826244</v>
      </c>
      <c r="M185" s="525">
        <f t="shared" si="80"/>
        <v>1393.6949301826244</v>
      </c>
      <c r="N185" s="525">
        <f t="shared" si="80"/>
        <v>1045.2711976369137</v>
      </c>
      <c r="O185" s="525">
        <f t="shared" si="80"/>
        <v>1045.2711976368992</v>
      </c>
      <c r="P185" s="525">
        <f t="shared" si="80"/>
        <v>1045.2711976369937</v>
      </c>
      <c r="Q185" s="525">
        <f t="shared" si="80"/>
        <v>1045.2711976369792</v>
      </c>
      <c r="R185" s="525">
        <f t="shared" si="80"/>
        <v>-4877.9322556391089</v>
      </c>
      <c r="S185" s="525">
        <f t="shared" si="80"/>
        <v>-696.84746509129764</v>
      </c>
      <c r="T185" s="525">
        <f t="shared" si="80"/>
        <v>-5226.3559881847432</v>
      </c>
      <c r="U185" s="525">
        <f t="shared" si="80"/>
        <v>-5226.355988184685</v>
      </c>
      <c r="V185" s="525">
        <f t="shared" si="80"/>
        <v>-5226.3559881847759</v>
      </c>
      <c r="W185" s="525">
        <f t="shared" si="80"/>
        <v>-5226.3559881847395</v>
      </c>
      <c r="X185" s="525">
        <f t="shared" si="80"/>
        <v>-5574.7797207304357</v>
      </c>
      <c r="Y185" s="525">
        <f t="shared" si="80"/>
        <v>-5574.7797207303811</v>
      </c>
      <c r="Z185" s="525">
        <f t="shared" si="80"/>
        <v>-5923.2034532760226</v>
      </c>
      <c r="AA185" s="525">
        <f t="shared" si="80"/>
        <v>-5923.2034532761172</v>
      </c>
      <c r="AB185" s="525">
        <f t="shared" si="80"/>
        <v>-6271.6271858217369</v>
      </c>
      <c r="AC185" s="525">
        <f t="shared" si="80"/>
        <v>-5923.2034532760372</v>
      </c>
      <c r="AD185" s="525">
        <f t="shared" si="80"/>
        <v>16375.915429645574</v>
      </c>
      <c r="AE185" s="525">
        <f t="shared" si="80"/>
        <v>16375.915429645531</v>
      </c>
      <c r="AF185" s="525">
        <f t="shared" si="80"/>
        <v>6968.4746509129982</v>
      </c>
      <c r="AG185" s="525">
        <f t="shared" si="80"/>
        <v>6968.4746509129327</v>
      </c>
      <c r="AH185" s="525">
        <f>SUM(AH182:AH184)</f>
        <v>6968.4746509129764</v>
      </c>
    </row>
    <row r="186" spans="1:34" x14ac:dyDescent="0.2">
      <c r="A186" s="621" t="s">
        <v>295</v>
      </c>
      <c r="B186" s="622"/>
      <c r="C186" s="622"/>
      <c r="D186" s="622"/>
      <c r="E186" s="622"/>
      <c r="F186" s="622"/>
      <c r="G186" s="622"/>
      <c r="H186" s="622"/>
      <c r="I186" s="622"/>
      <c r="J186" s="622"/>
      <c r="K186" s="622"/>
      <c r="L186" s="622"/>
      <c r="M186" s="622"/>
      <c r="N186" s="622"/>
      <c r="O186" s="622"/>
      <c r="P186" s="622"/>
      <c r="Q186" s="622"/>
      <c r="R186" s="622"/>
      <c r="S186" s="622"/>
      <c r="T186" s="622"/>
      <c r="U186" s="622"/>
      <c r="V186" s="622"/>
      <c r="W186" s="622"/>
      <c r="X186" s="622"/>
      <c r="Y186" s="622"/>
      <c r="Z186" s="622"/>
      <c r="AA186" s="622"/>
      <c r="AB186" s="622"/>
      <c r="AC186" s="622"/>
      <c r="AD186" s="622"/>
      <c r="AE186" s="622"/>
      <c r="AF186" s="622"/>
      <c r="AG186" s="622"/>
      <c r="AH186" s="622"/>
    </row>
    <row r="187" spans="1:34" x14ac:dyDescent="0.2">
      <c r="A187" s="30" t="s">
        <v>586</v>
      </c>
      <c r="B187" s="524">
        <v>0</v>
      </c>
      <c r="C187" s="524">
        <v>0</v>
      </c>
      <c r="D187" s="524">
        <f t="shared" ref="D187:AH187" si="81">D105-D41</f>
        <v>2727.8665501577198</v>
      </c>
      <c r="E187" s="524">
        <f t="shared" si="81"/>
        <v>16011.34124653344</v>
      </c>
      <c r="F187" s="524">
        <f t="shared" si="81"/>
        <v>16662.630277326156</v>
      </c>
      <c r="G187" s="524">
        <f t="shared" si="81"/>
        <v>17335.648597111867</v>
      </c>
      <c r="H187" s="524">
        <f t="shared" si="81"/>
        <v>15147.847691976698</v>
      </c>
      <c r="I187" s="524">
        <f t="shared" si="81"/>
        <v>15147.847691976698</v>
      </c>
      <c r="J187" s="524">
        <f t="shared" si="81"/>
        <v>17879.426783972536</v>
      </c>
      <c r="K187" s="524">
        <f t="shared" si="81"/>
        <v>18127.752155972063</v>
      </c>
      <c r="L187" s="524">
        <f t="shared" si="81"/>
        <v>19617.704387969803</v>
      </c>
      <c r="M187" s="524">
        <f t="shared" si="81"/>
        <v>21355.98199196707</v>
      </c>
      <c r="N187" s="524">
        <f t="shared" si="81"/>
        <v>23094.259595964337</v>
      </c>
      <c r="O187" s="524">
        <f t="shared" si="81"/>
        <v>19617.704387969687</v>
      </c>
      <c r="P187" s="524">
        <f t="shared" si="81"/>
        <v>19617.704387969687</v>
      </c>
      <c r="Q187" s="524">
        <f t="shared" si="81"/>
        <v>21604.307363966713</v>
      </c>
      <c r="R187" s="524">
        <f t="shared" si="81"/>
        <v>5959.8089279908454</v>
      </c>
      <c r="S187" s="524">
        <f t="shared" si="81"/>
        <v>5711.4835559912026</v>
      </c>
      <c r="T187" s="524">
        <f t="shared" si="81"/>
        <v>5214.8328119919752</v>
      </c>
      <c r="U187" s="524">
        <f t="shared" si="81"/>
        <v>4966.5074399923324</v>
      </c>
      <c r="V187" s="524">
        <f t="shared" si="81"/>
        <v>-993.30148799851304</v>
      </c>
      <c r="W187" s="524">
        <f t="shared" si="81"/>
        <v>-1489.9522319977405</v>
      </c>
      <c r="X187" s="524">
        <f t="shared" si="81"/>
        <v>248.3253719995264</v>
      </c>
      <c r="Y187" s="524">
        <f t="shared" si="81"/>
        <v>-248.3253719995264</v>
      </c>
      <c r="Z187" s="524">
        <f t="shared" si="81"/>
        <v>-744.97611599881202</v>
      </c>
      <c r="AA187" s="524">
        <f t="shared" si="81"/>
        <v>-993.30148799845483</v>
      </c>
      <c r="AB187" s="524">
        <f t="shared" si="81"/>
        <v>248.32537199964281</v>
      </c>
      <c r="AC187" s="524">
        <f t="shared" si="81"/>
        <v>27315.790919957915</v>
      </c>
      <c r="AD187" s="524">
        <f t="shared" si="81"/>
        <v>81947.372759873746</v>
      </c>
      <c r="AE187" s="524">
        <f t="shared" si="81"/>
        <v>84430.626479870058</v>
      </c>
      <c r="AF187" s="524">
        <f t="shared" si="81"/>
        <v>85920.578711867565</v>
      </c>
      <c r="AG187" s="524">
        <f t="shared" si="81"/>
        <v>87162.205571865779</v>
      </c>
      <c r="AH187" s="524">
        <f t="shared" si="81"/>
        <v>88403.832431863761</v>
      </c>
    </row>
    <row r="188" spans="1:34" x14ac:dyDescent="0.2">
      <c r="A188" s="30" t="s">
        <v>587</v>
      </c>
      <c r="B188" s="524">
        <v>0</v>
      </c>
      <c r="C188" s="524">
        <v>0</v>
      </c>
      <c r="D188" s="524">
        <f t="shared" ref="D188:AH188" si="82">D106-D42</f>
        <v>-75.552000000003318</v>
      </c>
      <c r="E188" s="524">
        <f t="shared" si="82"/>
        <v>881.4400000000096</v>
      </c>
      <c r="F188" s="524">
        <f t="shared" si="82"/>
        <v>931.80800000000454</v>
      </c>
      <c r="G188" s="524">
        <f t="shared" si="82"/>
        <v>982.1759999999922</v>
      </c>
      <c r="H188" s="524">
        <f t="shared" si="82"/>
        <v>1536.224000000002</v>
      </c>
      <c r="I188" s="524">
        <f t="shared" si="82"/>
        <v>1536.224000000002</v>
      </c>
      <c r="J188" s="524">
        <f t="shared" si="82"/>
        <v>1813.2480000000069</v>
      </c>
      <c r="K188" s="524">
        <f t="shared" si="82"/>
        <v>1838.4319999999934</v>
      </c>
      <c r="L188" s="524">
        <f t="shared" si="82"/>
        <v>1989.5360000000001</v>
      </c>
      <c r="M188" s="524">
        <f t="shared" si="82"/>
        <v>2165.8239999999932</v>
      </c>
      <c r="N188" s="524">
        <f t="shared" si="82"/>
        <v>2342.1119999999937</v>
      </c>
      <c r="O188" s="524">
        <f t="shared" si="82"/>
        <v>1989.5360000000001</v>
      </c>
      <c r="P188" s="524">
        <f t="shared" si="82"/>
        <v>1989.5359999999928</v>
      </c>
      <c r="Q188" s="524">
        <f t="shared" si="82"/>
        <v>2191.0080000000016</v>
      </c>
      <c r="R188" s="524">
        <f t="shared" si="82"/>
        <v>604.41599999999744</v>
      </c>
      <c r="S188" s="524">
        <f t="shared" si="82"/>
        <v>579.23200000000361</v>
      </c>
      <c r="T188" s="524">
        <f t="shared" si="82"/>
        <v>528.8640000000014</v>
      </c>
      <c r="U188" s="524">
        <f t="shared" si="82"/>
        <v>503.68000000000029</v>
      </c>
      <c r="V188" s="524">
        <f t="shared" si="82"/>
        <v>-100.73599999999715</v>
      </c>
      <c r="W188" s="524">
        <f t="shared" si="82"/>
        <v>-151.10400000000664</v>
      </c>
      <c r="X188" s="524">
        <f t="shared" si="82"/>
        <v>25.18399999999383</v>
      </c>
      <c r="Y188" s="524">
        <f t="shared" si="82"/>
        <v>-25.18399999999383</v>
      </c>
      <c r="Z188" s="524">
        <f t="shared" si="82"/>
        <v>-75.552000000003318</v>
      </c>
      <c r="AA188" s="524">
        <f t="shared" si="82"/>
        <v>-100.73599999999715</v>
      </c>
      <c r="AB188" s="524">
        <f t="shared" si="82"/>
        <v>25.184000000008382</v>
      </c>
      <c r="AC188" s="524">
        <f t="shared" si="82"/>
        <v>2770.239999999998</v>
      </c>
      <c r="AD188" s="524">
        <f t="shared" si="82"/>
        <v>8310.7200000000084</v>
      </c>
      <c r="AE188" s="524">
        <f t="shared" si="82"/>
        <v>8562.5600000000049</v>
      </c>
      <c r="AF188" s="524">
        <f t="shared" si="82"/>
        <v>8713.6640000000043</v>
      </c>
      <c r="AG188" s="524">
        <f t="shared" si="82"/>
        <v>8839.5840000000026</v>
      </c>
      <c r="AH188" s="524">
        <f t="shared" si="82"/>
        <v>8965.5039999999935</v>
      </c>
    </row>
    <row r="189" spans="1:34" x14ac:dyDescent="0.2">
      <c r="A189" s="30" t="s">
        <v>588</v>
      </c>
      <c r="B189" s="524">
        <v>0</v>
      </c>
      <c r="C189" s="524">
        <v>0</v>
      </c>
      <c r="D189" s="524">
        <f t="shared" ref="D189:AH189" si="83">D107-D43</f>
        <v>-220.02900000000955</v>
      </c>
      <c r="E189" s="524">
        <f t="shared" si="83"/>
        <v>2567.0050000000047</v>
      </c>
      <c r="F189" s="524">
        <f t="shared" si="83"/>
        <v>2713.6910000000207</v>
      </c>
      <c r="G189" s="524">
        <f t="shared" si="83"/>
        <v>2860.3769999999786</v>
      </c>
      <c r="H189" s="524">
        <f t="shared" si="83"/>
        <v>4473.9230000000098</v>
      </c>
      <c r="I189" s="524">
        <f t="shared" si="83"/>
        <v>4473.9230000000098</v>
      </c>
      <c r="J189" s="524">
        <f t="shared" si="83"/>
        <v>5280.6960000000108</v>
      </c>
      <c r="K189" s="524">
        <f t="shared" si="83"/>
        <v>5354.0389999999898</v>
      </c>
      <c r="L189" s="524">
        <f t="shared" si="83"/>
        <v>5794.0969999999797</v>
      </c>
      <c r="M189" s="524">
        <f t="shared" si="83"/>
        <v>6307.4979999999923</v>
      </c>
      <c r="N189" s="524">
        <f t="shared" si="83"/>
        <v>6820.8989999999758</v>
      </c>
      <c r="O189" s="524">
        <f t="shared" si="83"/>
        <v>5794.0969999999797</v>
      </c>
      <c r="P189" s="524">
        <f t="shared" si="83"/>
        <v>5794.0969999999797</v>
      </c>
      <c r="Q189" s="524">
        <f t="shared" si="83"/>
        <v>6380.8410000000149</v>
      </c>
      <c r="R189" s="524">
        <f t="shared" si="83"/>
        <v>1760.2320000000182</v>
      </c>
      <c r="S189" s="524">
        <f t="shared" si="83"/>
        <v>1686.8889999999956</v>
      </c>
      <c r="T189" s="524">
        <f t="shared" si="83"/>
        <v>1540.2030000000086</v>
      </c>
      <c r="U189" s="524">
        <f t="shared" si="83"/>
        <v>1466.8600000000151</v>
      </c>
      <c r="V189" s="524">
        <f t="shared" si="83"/>
        <v>-293.37200000000303</v>
      </c>
      <c r="W189" s="524">
        <f t="shared" si="83"/>
        <v>-440.05800000001909</v>
      </c>
      <c r="X189" s="524">
        <f t="shared" si="83"/>
        <v>73.342999999993481</v>
      </c>
      <c r="Y189" s="524">
        <f t="shared" si="83"/>
        <v>-73.342999999993481</v>
      </c>
      <c r="Z189" s="524">
        <f t="shared" si="83"/>
        <v>-220.02900000000955</v>
      </c>
      <c r="AA189" s="524">
        <f t="shared" si="83"/>
        <v>-293.37200000000303</v>
      </c>
      <c r="AB189" s="524">
        <f t="shared" si="83"/>
        <v>73.343000000022585</v>
      </c>
      <c r="AC189" s="524">
        <f t="shared" si="83"/>
        <v>8067.7299999999814</v>
      </c>
      <c r="AD189" s="524">
        <f t="shared" si="83"/>
        <v>24203.190000000002</v>
      </c>
      <c r="AE189" s="524">
        <f t="shared" si="83"/>
        <v>24936.620000000024</v>
      </c>
      <c r="AF189" s="524">
        <f t="shared" si="83"/>
        <v>25376.678000000014</v>
      </c>
      <c r="AG189" s="524">
        <f t="shared" si="83"/>
        <v>25743.392999999982</v>
      </c>
      <c r="AH189" s="524">
        <f t="shared" si="83"/>
        <v>26110.107999999978</v>
      </c>
    </row>
    <row r="190" spans="1:34" x14ac:dyDescent="0.2">
      <c r="A190" s="523" t="s">
        <v>61</v>
      </c>
      <c r="B190" s="525">
        <f t="shared" ref="B190:AG190" si="84">SUM(B187:B189)</f>
        <v>0</v>
      </c>
      <c r="C190" s="525">
        <f t="shared" si="84"/>
        <v>0</v>
      </c>
      <c r="D190" s="525">
        <f t="shared" si="84"/>
        <v>2432.2855501577069</v>
      </c>
      <c r="E190" s="525">
        <f t="shared" si="84"/>
        <v>19459.786246533455</v>
      </c>
      <c r="F190" s="525">
        <f t="shared" si="84"/>
        <v>20308.129277326181</v>
      </c>
      <c r="G190" s="525">
        <f t="shared" si="84"/>
        <v>21178.201597111838</v>
      </c>
      <c r="H190" s="525">
        <f t="shared" si="84"/>
        <v>21157.99469197671</v>
      </c>
      <c r="I190" s="525">
        <f t="shared" si="84"/>
        <v>21157.99469197671</v>
      </c>
      <c r="J190" s="525">
        <f t="shared" si="84"/>
        <v>24973.370783972554</v>
      </c>
      <c r="K190" s="525">
        <f t="shared" si="84"/>
        <v>25320.223155972046</v>
      </c>
      <c r="L190" s="525">
        <f t="shared" si="84"/>
        <v>27401.337387969783</v>
      </c>
      <c r="M190" s="525">
        <f t="shared" si="84"/>
        <v>29829.303991967055</v>
      </c>
      <c r="N190" s="525">
        <f t="shared" si="84"/>
        <v>32257.270595964306</v>
      </c>
      <c r="O190" s="525">
        <f t="shared" si="84"/>
        <v>27401.337387969666</v>
      </c>
      <c r="P190" s="525">
        <f t="shared" si="84"/>
        <v>27401.337387969659</v>
      </c>
      <c r="Q190" s="525">
        <f t="shared" si="84"/>
        <v>30176.156363966729</v>
      </c>
      <c r="R190" s="525">
        <f t="shared" si="84"/>
        <v>8324.456927990861</v>
      </c>
      <c r="S190" s="525">
        <f t="shared" si="84"/>
        <v>7977.6045559912018</v>
      </c>
      <c r="T190" s="525">
        <f t="shared" si="84"/>
        <v>7283.8998119919852</v>
      </c>
      <c r="U190" s="525">
        <f t="shared" si="84"/>
        <v>6937.0474399923478</v>
      </c>
      <c r="V190" s="525">
        <f t="shared" si="84"/>
        <v>-1387.4094879985132</v>
      </c>
      <c r="W190" s="525">
        <f t="shared" si="84"/>
        <v>-2081.1142319977662</v>
      </c>
      <c r="X190" s="525">
        <f t="shared" si="84"/>
        <v>346.85237199951371</v>
      </c>
      <c r="Y190" s="525">
        <f t="shared" si="84"/>
        <v>-346.85237199951371</v>
      </c>
      <c r="Z190" s="525">
        <f t="shared" si="84"/>
        <v>-1040.5571159988249</v>
      </c>
      <c r="AA190" s="525">
        <f t="shared" si="84"/>
        <v>-1387.409487998455</v>
      </c>
      <c r="AB190" s="525">
        <f t="shared" si="84"/>
        <v>346.85237199967378</v>
      </c>
      <c r="AC190" s="525">
        <f t="shared" si="84"/>
        <v>38153.760919957895</v>
      </c>
      <c r="AD190" s="525">
        <f t="shared" si="84"/>
        <v>114461.28275987375</v>
      </c>
      <c r="AE190" s="525">
        <f t="shared" si="84"/>
        <v>117929.80647987008</v>
      </c>
      <c r="AF190" s="525">
        <f t="shared" si="84"/>
        <v>120010.92071186758</v>
      </c>
      <c r="AG190" s="525">
        <f t="shared" si="84"/>
        <v>121745.18257186576</v>
      </c>
      <c r="AH190" s="525">
        <f>SUM(AH187:AH189)</f>
        <v>123479.44443186373</v>
      </c>
    </row>
    <row r="191" spans="1:34" x14ac:dyDescent="0.2">
      <c r="A191" s="523" t="s">
        <v>538</v>
      </c>
      <c r="B191" s="525">
        <f t="shared" ref="B191:AG191" si="85">SUM(B185,B190)</f>
        <v>0</v>
      </c>
      <c r="C191" s="525">
        <f t="shared" si="85"/>
        <v>0</v>
      </c>
      <c r="D191" s="525">
        <f t="shared" si="85"/>
        <v>3467.9304599321404</v>
      </c>
      <c r="E191" s="525">
        <f t="shared" si="85"/>
        <v>20731.682867371223</v>
      </c>
      <c r="F191" s="525">
        <f t="shared" si="85"/>
        <v>21350.629270881578</v>
      </c>
      <c r="G191" s="525">
        <f t="shared" si="85"/>
        <v>22571.896527294419</v>
      </c>
      <c r="H191" s="525">
        <f t="shared" si="85"/>
        <v>22551.689622159305</v>
      </c>
      <c r="I191" s="525">
        <f t="shared" si="85"/>
        <v>22203.265889613609</v>
      </c>
      <c r="J191" s="525">
        <f t="shared" si="85"/>
        <v>26367.065714155149</v>
      </c>
      <c r="K191" s="525">
        <f t="shared" si="85"/>
        <v>26713.918086154641</v>
      </c>
      <c r="L191" s="525">
        <f t="shared" si="85"/>
        <v>28795.032318152407</v>
      </c>
      <c r="M191" s="525">
        <f t="shared" si="85"/>
        <v>31222.99892214968</v>
      </c>
      <c r="N191" s="525">
        <f t="shared" si="85"/>
        <v>33302.541793601224</v>
      </c>
      <c r="O191" s="525">
        <f t="shared" si="85"/>
        <v>28446.608585606566</v>
      </c>
      <c r="P191" s="525">
        <f t="shared" si="85"/>
        <v>28446.608585606653</v>
      </c>
      <c r="Q191" s="525">
        <f t="shared" si="85"/>
        <v>31221.427561603708</v>
      </c>
      <c r="R191" s="525">
        <f t="shared" si="85"/>
        <v>3446.5246723517521</v>
      </c>
      <c r="S191" s="525">
        <f t="shared" si="85"/>
        <v>7280.7570908999041</v>
      </c>
      <c r="T191" s="525">
        <f t="shared" si="85"/>
        <v>2057.543823807242</v>
      </c>
      <c r="U191" s="525">
        <f t="shared" si="85"/>
        <v>1710.6914518076628</v>
      </c>
      <c r="V191" s="525">
        <f t="shared" si="85"/>
        <v>-6613.7654761832891</v>
      </c>
      <c r="W191" s="525">
        <f t="shared" si="85"/>
        <v>-7307.4702201825057</v>
      </c>
      <c r="X191" s="525">
        <f t="shared" si="85"/>
        <v>-5227.9273487309219</v>
      </c>
      <c r="Y191" s="525">
        <f t="shared" si="85"/>
        <v>-5921.6320927298948</v>
      </c>
      <c r="Z191" s="525">
        <f t="shared" si="85"/>
        <v>-6963.7605692748475</v>
      </c>
      <c r="AA191" s="525">
        <f t="shared" si="85"/>
        <v>-7310.6129412745722</v>
      </c>
      <c r="AB191" s="525">
        <f t="shared" si="85"/>
        <v>-5924.7748138220632</v>
      </c>
      <c r="AC191" s="525">
        <f t="shared" si="85"/>
        <v>32230.557466681857</v>
      </c>
      <c r="AD191" s="525">
        <f t="shared" si="85"/>
        <v>130837.19818951932</v>
      </c>
      <c r="AE191" s="525">
        <f t="shared" si="85"/>
        <v>134305.72190951562</v>
      </c>
      <c r="AF191" s="525">
        <f t="shared" si="85"/>
        <v>126979.39536278057</v>
      </c>
      <c r="AG191" s="525">
        <f t="shared" si="85"/>
        <v>128713.6572227787</v>
      </c>
      <c r="AH191" s="525">
        <f>SUM(AH185,AH190)</f>
        <v>130447.9190827767</v>
      </c>
    </row>
    <row r="192" spans="1:34" x14ac:dyDescent="0.2">
      <c r="A192" s="523" t="s">
        <v>598</v>
      </c>
      <c r="B192" s="525">
        <f t="shared" ref="B192:AG192" si="86">B191-B178</f>
        <v>0</v>
      </c>
      <c r="C192" s="525">
        <f t="shared" si="86"/>
        <v>-400.19395739687025</v>
      </c>
      <c r="D192" s="525">
        <f t="shared" si="86"/>
        <v>2894.8259336510164</v>
      </c>
      <c r="E192" s="525">
        <f t="shared" si="86"/>
        <v>19247.173944001472</v>
      </c>
      <c r="F192" s="525">
        <f t="shared" si="86"/>
        <v>19086.548229935772</v>
      </c>
      <c r="G192" s="525">
        <f t="shared" si="86"/>
        <v>19504.868073486694</v>
      </c>
      <c r="H192" s="525">
        <f t="shared" si="86"/>
        <v>19428.752803105002</v>
      </c>
      <c r="I192" s="525">
        <f t="shared" si="86"/>
        <v>19024.380705312749</v>
      </c>
      <c r="J192" s="525">
        <f t="shared" si="86"/>
        <v>23133.372164607688</v>
      </c>
      <c r="K192" s="525">
        <f t="shared" si="86"/>
        <v>23425.416171360608</v>
      </c>
      <c r="L192" s="525">
        <f t="shared" si="86"/>
        <v>23240.103195111871</v>
      </c>
      <c r="M192" s="525">
        <f t="shared" si="86"/>
        <v>23401.642590862532</v>
      </c>
      <c r="N192" s="525">
        <f t="shared" si="86"/>
        <v>23214.758254067499</v>
      </c>
      <c r="O192" s="525">
        <f t="shared" si="86"/>
        <v>18276.612498203049</v>
      </c>
      <c r="P192" s="525">
        <f t="shared" si="86"/>
        <v>18194.399950333191</v>
      </c>
      <c r="Q192" s="525">
        <f t="shared" si="86"/>
        <v>20887.006378460395</v>
      </c>
      <c r="R192" s="525">
        <f t="shared" si="86"/>
        <v>19249.890941338632</v>
      </c>
      <c r="S192" s="525">
        <f t="shared" si="86"/>
        <v>23571.910812016918</v>
      </c>
      <c r="T192" s="525">
        <f t="shared" si="86"/>
        <v>18836.484997054347</v>
      </c>
      <c r="U192" s="525">
        <f t="shared" si="86"/>
        <v>18977.420077184997</v>
      </c>
      <c r="V192" s="525">
        <f t="shared" si="86"/>
        <v>18640.750601324151</v>
      </c>
      <c r="W192" s="525">
        <f t="shared" si="86"/>
        <v>18584.833309455113</v>
      </c>
      <c r="X192" s="525">
        <f t="shared" si="86"/>
        <v>21302.163633036693</v>
      </c>
      <c r="Y192" s="525">
        <f t="shared" si="86"/>
        <v>21246.246341168007</v>
      </c>
      <c r="Z192" s="525">
        <f t="shared" si="86"/>
        <v>20841.905316753226</v>
      </c>
      <c r="AA192" s="525">
        <f t="shared" si="86"/>
        <v>21132.840396883556</v>
      </c>
      <c r="AB192" s="525">
        <f t="shared" si="86"/>
        <v>20944.847133466217</v>
      </c>
      <c r="AC192" s="525">
        <f t="shared" si="86"/>
        <v>23326.348023100349</v>
      </c>
      <c r="AD192" s="525">
        <f t="shared" si="86"/>
        <v>37979.157355067888</v>
      </c>
      <c r="AE192" s="525">
        <f t="shared" si="86"/>
        <v>37863.849684194473</v>
      </c>
      <c r="AF192" s="525">
        <f t="shared" si="86"/>
        <v>28707.906406966285</v>
      </c>
      <c r="AG192" s="525">
        <f t="shared" si="86"/>
        <v>28612.551536471205</v>
      </c>
      <c r="AH192" s="525">
        <f>AH191-AH178</f>
        <v>28517.196665976007</v>
      </c>
    </row>
    <row r="194" spans="1:34" x14ac:dyDescent="0.2">
      <c r="A194" s="304"/>
      <c r="B194" s="304"/>
      <c r="C194" s="304"/>
      <c r="D194" s="304"/>
      <c r="E194" s="304"/>
      <c r="F194" s="304"/>
      <c r="G194" s="304"/>
      <c r="H194" s="304"/>
      <c r="I194" s="304"/>
      <c r="J194" s="304"/>
      <c r="K194" s="304"/>
      <c r="L194" s="304"/>
      <c r="M194" s="304"/>
      <c r="N194" s="304"/>
      <c r="O194" s="304"/>
      <c r="P194" s="304"/>
      <c r="Q194" s="304"/>
      <c r="R194" s="304"/>
      <c r="S194" s="304"/>
      <c r="T194" s="304"/>
      <c r="U194" s="304"/>
      <c r="V194" s="304"/>
      <c r="W194" s="304"/>
      <c r="X194" s="304"/>
      <c r="Y194" s="304"/>
      <c r="Z194" s="304"/>
      <c r="AA194" s="304"/>
      <c r="AB194" s="304"/>
      <c r="AC194" s="304"/>
      <c r="AD194" s="304"/>
      <c r="AE194" s="304"/>
      <c r="AF194" s="304"/>
      <c r="AG194" s="304"/>
      <c r="AH194" s="304"/>
    </row>
    <row r="196" spans="1:34" x14ac:dyDescent="0.2">
      <c r="B196" s="110"/>
      <c r="C196" s="110"/>
      <c r="D196" s="110"/>
      <c r="E196" s="110"/>
      <c r="F196" s="110"/>
      <c r="G196" s="110"/>
      <c r="H196" s="110"/>
      <c r="I196" s="110"/>
      <c r="J196" s="110"/>
      <c r="K196" s="110"/>
      <c r="L196" s="110"/>
      <c r="M196" s="110"/>
      <c r="N196" s="110"/>
      <c r="O196" s="110"/>
      <c r="P196" s="110"/>
      <c r="Q196" s="110"/>
      <c r="R196" s="110"/>
      <c r="S196" s="110"/>
      <c r="T196" s="110"/>
      <c r="U196" s="110"/>
      <c r="V196" s="110"/>
      <c r="W196" s="110"/>
      <c r="X196" s="110"/>
      <c r="Y196" s="110"/>
      <c r="Z196" s="110"/>
      <c r="AA196" s="110"/>
      <c r="AB196" s="110"/>
      <c r="AC196" s="110"/>
      <c r="AD196" s="110"/>
      <c r="AE196" s="110"/>
      <c r="AF196" s="110"/>
      <c r="AG196" s="110"/>
      <c r="AH196" s="110"/>
    </row>
    <row r="197" spans="1:34" x14ac:dyDescent="0.2">
      <c r="D197" s="110"/>
      <c r="F197" s="110"/>
    </row>
    <row r="198" spans="1:34" x14ac:dyDescent="0.2">
      <c r="C198" s="110"/>
      <c r="D198" s="110"/>
      <c r="E198" s="110"/>
      <c r="F198" s="110"/>
      <c r="G198" s="110"/>
      <c r="H198" s="110"/>
      <c r="I198" s="110"/>
      <c r="J198" s="110"/>
      <c r="K198" s="110"/>
      <c r="L198" s="110"/>
      <c r="M198" s="110"/>
      <c r="N198" s="110"/>
      <c r="O198" s="110"/>
      <c r="P198" s="110"/>
      <c r="Q198" s="110"/>
      <c r="R198" s="110"/>
      <c r="S198" s="110"/>
      <c r="T198" s="110"/>
      <c r="U198" s="110"/>
      <c r="V198" s="110"/>
      <c r="W198" s="110"/>
      <c r="X198" s="110"/>
      <c r="Y198" s="110"/>
      <c r="Z198" s="110"/>
      <c r="AA198" s="110"/>
      <c r="AB198" s="110"/>
      <c r="AC198" s="110"/>
      <c r="AD198" s="110"/>
      <c r="AE198" s="110"/>
      <c r="AF198" s="110"/>
      <c r="AG198" s="110"/>
      <c r="AH198" s="110"/>
    </row>
    <row r="200" spans="1:34" x14ac:dyDescent="0.2">
      <c r="D200" s="110"/>
      <c r="E200" s="110"/>
      <c r="F200" s="110"/>
      <c r="G200" s="110"/>
      <c r="H200" s="110"/>
      <c r="I200" s="110"/>
      <c r="J200" s="110"/>
      <c r="K200" s="110"/>
      <c r="L200" s="110"/>
      <c r="M200" s="110"/>
      <c r="N200" s="110"/>
      <c r="O200" s="110"/>
      <c r="P200" s="110"/>
      <c r="Q200" s="110"/>
      <c r="R200" s="110"/>
      <c r="S200" s="110"/>
      <c r="T200" s="110"/>
      <c r="U200" s="110"/>
      <c r="V200" s="110"/>
      <c r="W200" s="110"/>
      <c r="X200" s="110"/>
      <c r="Y200" s="110"/>
      <c r="Z200" s="110"/>
      <c r="AA200" s="110"/>
      <c r="AB200" s="110"/>
      <c r="AC200" s="110"/>
      <c r="AD200" s="110"/>
      <c r="AE200" s="110"/>
      <c r="AF200" s="110"/>
      <c r="AG200" s="110"/>
      <c r="AH200" s="110"/>
    </row>
    <row r="202" spans="1:34" x14ac:dyDescent="0.2">
      <c r="D202" s="310"/>
    </row>
    <row r="203" spans="1:34" x14ac:dyDescent="0.2">
      <c r="D203" s="310"/>
    </row>
    <row r="204" spans="1:34" x14ac:dyDescent="0.2">
      <c r="D204" s="310"/>
    </row>
  </sheetData>
  <phoneticPr fontId="2" type="noConversion"/>
  <pageMargins left="0.59027777777777779" right="0.59027777777777779" top="0.75" bottom="0.88888888888888884" header="0.51180555555555551" footer="0.75"/>
  <pageSetup paperSize="9" scale="78" firstPageNumber="0" orientation="landscape" horizontalDpi="300" verticalDpi="300" r:id="rId1"/>
  <headerFooter alignWithMargins="0">
    <oddFooter>&amp;L&amp;A&amp;R&amp;P</oddFooter>
  </headerFooter>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
  <sheetViews>
    <sheetView showGridLines="0" zoomScale="85" workbookViewId="0">
      <pane xSplit="1" topLeftCell="B1" activePane="topRight" state="frozen"/>
      <selection pane="topRight" activeCell="R29" sqref="R29:R30"/>
    </sheetView>
  </sheetViews>
  <sheetFormatPr defaultRowHeight="10.5" x14ac:dyDescent="0.2"/>
  <cols>
    <col min="1" max="1" width="52.140625" style="122" customWidth="1"/>
    <col min="2" max="34" width="12.140625" style="122" customWidth="1"/>
    <col min="35" max="16384" width="9.140625" style="122"/>
  </cols>
  <sheetData>
    <row r="1" spans="1:33" ht="19.5" x14ac:dyDescent="0.2">
      <c r="A1" s="492" t="str">
        <f>'Datu ievade'!$B$12</f>
        <v>SIA "Dobeles Ūdens"</v>
      </c>
    </row>
    <row r="2" spans="1:33" ht="18" x14ac:dyDescent="0.2">
      <c r="A2" s="489" t="str">
        <f>'Datu ievade'!$B$13</f>
        <v>"Kanalizācijas tīklu paplašināšana Dobeles aglomerācijā" II kārta</v>
      </c>
    </row>
    <row r="3" spans="1:33" ht="19.5" x14ac:dyDescent="0.2">
      <c r="A3" s="501" t="s">
        <v>112</v>
      </c>
      <c r="B3" s="500"/>
      <c r="C3" s="500"/>
      <c r="D3" s="500"/>
    </row>
    <row r="5" spans="1:33" ht="17.25" customHeight="1" x14ac:dyDescent="0.2">
      <c r="A5" s="493" t="s">
        <v>113</v>
      </c>
      <c r="B5" s="276"/>
      <c r="C5" s="276"/>
      <c r="D5" s="276"/>
      <c r="E5" s="276"/>
      <c r="F5" s="276"/>
      <c r="G5" s="276"/>
      <c r="H5" s="276"/>
      <c r="I5" s="276"/>
      <c r="J5" s="276"/>
      <c r="K5" s="276"/>
      <c r="L5" s="276"/>
      <c r="M5" s="276"/>
      <c r="N5" s="276"/>
      <c r="O5" s="276"/>
      <c r="P5" s="276"/>
      <c r="Q5" s="276"/>
      <c r="R5" s="276"/>
      <c r="S5" s="276"/>
      <c r="T5" s="276"/>
      <c r="U5" s="276"/>
    </row>
    <row r="6" spans="1:33" ht="12.75" x14ac:dyDescent="0.2">
      <c r="A6" s="30"/>
      <c r="B6" s="522">
        <v>2018</v>
      </c>
      <c r="C6" s="522">
        <f t="shared" ref="C6:AF6" si="0">B6+1</f>
        <v>2019</v>
      </c>
      <c r="D6" s="522">
        <f t="shared" si="0"/>
        <v>2020</v>
      </c>
      <c r="E6" s="522">
        <f t="shared" si="0"/>
        <v>2021</v>
      </c>
      <c r="F6" s="522">
        <f t="shared" si="0"/>
        <v>2022</v>
      </c>
      <c r="G6" s="522">
        <f t="shared" si="0"/>
        <v>2023</v>
      </c>
      <c r="H6" s="522">
        <f t="shared" si="0"/>
        <v>2024</v>
      </c>
      <c r="I6" s="522">
        <f t="shared" si="0"/>
        <v>2025</v>
      </c>
      <c r="J6" s="522">
        <f t="shared" si="0"/>
        <v>2026</v>
      </c>
      <c r="K6" s="522">
        <f t="shared" si="0"/>
        <v>2027</v>
      </c>
      <c r="L6" s="522">
        <f t="shared" si="0"/>
        <v>2028</v>
      </c>
      <c r="M6" s="522">
        <f t="shared" si="0"/>
        <v>2029</v>
      </c>
      <c r="N6" s="522">
        <f t="shared" si="0"/>
        <v>2030</v>
      </c>
      <c r="O6" s="522">
        <f t="shared" si="0"/>
        <v>2031</v>
      </c>
      <c r="P6" s="522">
        <f t="shared" si="0"/>
        <v>2032</v>
      </c>
      <c r="Q6" s="522">
        <f t="shared" si="0"/>
        <v>2033</v>
      </c>
      <c r="R6" s="522">
        <f t="shared" si="0"/>
        <v>2034</v>
      </c>
      <c r="S6" s="522">
        <f t="shared" si="0"/>
        <v>2035</v>
      </c>
      <c r="T6" s="522">
        <f t="shared" si="0"/>
        <v>2036</v>
      </c>
      <c r="U6" s="522">
        <f t="shared" si="0"/>
        <v>2037</v>
      </c>
      <c r="V6" s="522">
        <f t="shared" si="0"/>
        <v>2038</v>
      </c>
      <c r="W6" s="522">
        <f t="shared" si="0"/>
        <v>2039</v>
      </c>
      <c r="X6" s="522">
        <f t="shared" si="0"/>
        <v>2040</v>
      </c>
      <c r="Y6" s="522">
        <f t="shared" si="0"/>
        <v>2041</v>
      </c>
      <c r="Z6" s="522">
        <f t="shared" si="0"/>
        <v>2042</v>
      </c>
      <c r="AA6" s="522">
        <f t="shared" si="0"/>
        <v>2043</v>
      </c>
      <c r="AB6" s="522">
        <f t="shared" si="0"/>
        <v>2044</v>
      </c>
      <c r="AC6" s="522">
        <f t="shared" si="0"/>
        <v>2045</v>
      </c>
      <c r="AD6" s="522">
        <f t="shared" si="0"/>
        <v>2046</v>
      </c>
      <c r="AE6" s="522">
        <f t="shared" si="0"/>
        <v>2047</v>
      </c>
      <c r="AF6" s="522">
        <f t="shared" si="0"/>
        <v>2048</v>
      </c>
      <c r="AG6" s="522">
        <f>AF6+1</f>
        <v>2049</v>
      </c>
    </row>
    <row r="7" spans="1:33" ht="12.75" x14ac:dyDescent="0.2">
      <c r="A7" s="542" t="s">
        <v>114</v>
      </c>
      <c r="B7" s="543"/>
      <c r="C7" s="543"/>
      <c r="D7" s="543"/>
      <c r="E7" s="543"/>
      <c r="F7" s="543"/>
      <c r="G7" s="543"/>
      <c r="H7" s="543"/>
      <c r="I7" s="543"/>
      <c r="J7" s="543"/>
      <c r="K7" s="543"/>
      <c r="L7" s="543"/>
      <c r="M7" s="543"/>
      <c r="N7" s="543"/>
      <c r="O7" s="543"/>
      <c r="P7" s="543"/>
      <c r="Q7" s="543"/>
      <c r="R7" s="543"/>
      <c r="S7" s="543"/>
      <c r="T7" s="543"/>
      <c r="U7" s="543"/>
      <c r="V7" s="543"/>
      <c r="W7" s="543"/>
      <c r="X7" s="543"/>
      <c r="Y7" s="543"/>
      <c r="Z7" s="543"/>
      <c r="AA7" s="543"/>
      <c r="AB7" s="543"/>
      <c r="AC7" s="543"/>
      <c r="AD7" s="543"/>
      <c r="AE7" s="543"/>
      <c r="AF7" s="543"/>
      <c r="AG7" s="543"/>
    </row>
    <row r="8" spans="1:33" ht="25.5" x14ac:dyDescent="0.2">
      <c r="A8" s="544" t="str">
        <f>'Datu ievade'!A251</f>
        <v>Kopā pašvaldības ilgtermiņa saistības (aizņemumi un galvojumi)</v>
      </c>
      <c r="B8" s="544">
        <f>'Datu ievade'!B251</f>
        <v>1357242</v>
      </c>
      <c r="C8" s="544">
        <f>'Datu ievade'!C251</f>
        <v>1523255</v>
      </c>
      <c r="D8" s="544">
        <f>'Datu ievade'!D251</f>
        <v>1215012</v>
      </c>
      <c r="E8" s="544">
        <f>'Datu ievade'!E251</f>
        <v>1085023</v>
      </c>
      <c r="F8" s="544">
        <f>'Datu ievade'!F251</f>
        <v>930959</v>
      </c>
      <c r="G8" s="544">
        <f>'Datu ievade'!G251</f>
        <v>785333</v>
      </c>
      <c r="H8" s="544">
        <f>'Datu ievade'!H251</f>
        <v>685969</v>
      </c>
      <c r="I8" s="544">
        <f>'Datu ievade'!I251</f>
        <v>687023.75374726346</v>
      </c>
      <c r="J8" s="544">
        <f>'Datu ievade'!J251</f>
        <v>665159.78833765723</v>
      </c>
      <c r="K8" s="544">
        <f>'Datu ievade'!K251</f>
        <v>606065.75374726357</v>
      </c>
      <c r="L8" s="544">
        <f>'Datu ievade'!L251</f>
        <v>460858.08708059683</v>
      </c>
      <c r="M8" s="544">
        <f>'Datu ievade'!M251</f>
        <v>441627.08708059683</v>
      </c>
      <c r="N8" s="544">
        <f>'Datu ievade'!N251</f>
        <v>428300.88708059682</v>
      </c>
      <c r="O8" s="544">
        <f>'Datu ievade'!O251</f>
        <v>428300.88708059682</v>
      </c>
      <c r="P8" s="544">
        <f>'Datu ievade'!P251</f>
        <v>423686.17279488256</v>
      </c>
      <c r="Q8" s="544">
        <f>'Datu ievade'!Q251</f>
        <v>397581.04779488256</v>
      </c>
      <c r="R8" s="544">
        <f>'Datu ievade'!R251</f>
        <v>377498.0477948825</v>
      </c>
      <c r="S8" s="544">
        <f>'Datu ievade'!S251</f>
        <v>236480.54779488247</v>
      </c>
      <c r="T8" s="544">
        <f>'Datu ievade'!T251</f>
        <v>200795.09324942794</v>
      </c>
      <c r="U8" s="544">
        <f>'Datu ievade'!U251</f>
        <v>193134.09324942794</v>
      </c>
      <c r="V8" s="544">
        <f>'Datu ievade'!V251</f>
        <v>193134.09324942794</v>
      </c>
      <c r="W8" s="544">
        <f>'Datu ievade'!W251</f>
        <v>193134.09324942794</v>
      </c>
      <c r="X8" s="544">
        <f>'Datu ievade'!X251</f>
        <v>193134.09324942794</v>
      </c>
      <c r="Y8" s="544">
        <f>'Datu ievade'!Y251</f>
        <v>193134.09324942794</v>
      </c>
      <c r="Z8" s="544">
        <f>'Datu ievade'!Z251</f>
        <v>193134.09324942794</v>
      </c>
      <c r="AA8" s="544">
        <f>'Datu ievade'!AA251</f>
        <v>193134.09324942794</v>
      </c>
      <c r="AB8" s="544">
        <f>'Datu ievade'!AB251</f>
        <v>165005.61956521741</v>
      </c>
      <c r="AC8" s="544">
        <f>'Datu ievade'!AC251</f>
        <v>165005.61956521741</v>
      </c>
      <c r="AD8" s="544">
        <f>'Datu ievade'!AD251</f>
        <v>165005.61956521741</v>
      </c>
      <c r="AE8" s="544">
        <f>'Datu ievade'!AE251</f>
        <v>165005.61956521741</v>
      </c>
      <c r="AF8" s="544">
        <f>'Datu ievade'!AF251</f>
        <v>66881.75</v>
      </c>
      <c r="AG8" s="544">
        <f>'Datu ievade'!AG251</f>
        <v>0</v>
      </c>
    </row>
    <row r="9" spans="1:33" ht="29.25" customHeight="1" x14ac:dyDescent="0.2">
      <c r="A9" s="30" t="s">
        <v>115</v>
      </c>
      <c r="B9" s="544">
        <f>'Datu ievade'!B226</f>
        <v>0</v>
      </c>
      <c r="C9" s="544">
        <f>'Datu ievade'!D226</f>
        <v>0</v>
      </c>
      <c r="D9" s="544">
        <f>'Datu ievade'!E226</f>
        <v>0</v>
      </c>
      <c r="E9" s="544">
        <f>'Datu ievade'!F226</f>
        <v>0</v>
      </c>
      <c r="F9" s="544">
        <f>'Datu ievade'!G226</f>
        <v>0</v>
      </c>
      <c r="G9" s="544">
        <f>'Datu ievade'!H226</f>
        <v>0</v>
      </c>
      <c r="H9" s="544">
        <f>'Datu ievade'!I226</f>
        <v>0</v>
      </c>
      <c r="I9" s="544">
        <f>H9</f>
        <v>0</v>
      </c>
      <c r="J9" s="544"/>
      <c r="K9" s="544"/>
      <c r="L9" s="544"/>
      <c r="M9" s="544"/>
      <c r="N9" s="544"/>
      <c r="O9" s="544"/>
      <c r="P9" s="544"/>
      <c r="Q9" s="544"/>
      <c r="R9" s="544"/>
      <c r="S9" s="544"/>
      <c r="T9" s="544"/>
      <c r="U9" s="544"/>
      <c r="V9" s="544"/>
      <c r="W9" s="544"/>
      <c r="X9" s="544"/>
      <c r="Y9" s="544"/>
      <c r="Z9" s="544"/>
      <c r="AA9" s="544"/>
      <c r="AB9" s="544"/>
      <c r="AC9" s="544"/>
      <c r="AD9" s="544"/>
      <c r="AE9" s="544"/>
      <c r="AF9" s="544"/>
      <c r="AG9" s="544"/>
    </row>
    <row r="10" spans="1:33" ht="12.75" x14ac:dyDescent="0.2">
      <c r="A10" s="30" t="s">
        <v>116</v>
      </c>
      <c r="B10" s="524">
        <f>IF('Datu ievade'!$B$14='Datu ievade'!$AI$5,Aprēķini!C256,0)</f>
        <v>0</v>
      </c>
      <c r="C10" s="524">
        <f>IF('Datu ievade'!$B$14='Datu ievade'!$AI$5,Aprēķini!D256,0)</f>
        <v>0</v>
      </c>
      <c r="D10" s="524">
        <f>IF('Datu ievade'!$B$14='Datu ievade'!$AI$5,Aprēķini!E256,0)</f>
        <v>0</v>
      </c>
      <c r="E10" s="524">
        <f>IF('Datu ievade'!$B$14='Datu ievade'!$AI$5,Aprēķini!F256,0)</f>
        <v>0</v>
      </c>
      <c r="F10" s="524">
        <f>IF('Datu ievade'!$B$14='Datu ievade'!$AI$5,Aprēķini!G256,0)</f>
        <v>0</v>
      </c>
      <c r="G10" s="524">
        <f>IF('Datu ievade'!$B$14='Datu ievade'!$AI$5,Aprēķini!H256,0)</f>
        <v>0</v>
      </c>
      <c r="H10" s="524">
        <f>IF('Datu ievade'!$B$14='Datu ievade'!$AI$5,Aprēķini!I256,0)</f>
        <v>0</v>
      </c>
      <c r="I10" s="524">
        <f>IF('Datu ievade'!$B$14='Datu ievade'!$AI$5,Aprēķini!J256,0)</f>
        <v>0</v>
      </c>
      <c r="J10" s="524">
        <f>IF('Datu ievade'!$B$14='Datu ievade'!$AI$5,Aprēķini!K256,0)</f>
        <v>0</v>
      </c>
      <c r="K10" s="524">
        <f>IF('Datu ievade'!$B$14='Datu ievade'!$AI$5,Aprēķini!L256,0)</f>
        <v>0</v>
      </c>
      <c r="L10" s="524">
        <f>IF('Datu ievade'!$B$14='Datu ievade'!$AI$5,Aprēķini!M256,0)</f>
        <v>0</v>
      </c>
      <c r="M10" s="524">
        <f>IF('Datu ievade'!$B$14='Datu ievade'!$AI$5,Aprēķini!N256,0)</f>
        <v>0</v>
      </c>
      <c r="N10" s="524">
        <f>IF('Datu ievade'!$B$14='Datu ievade'!$AI$5,Aprēķini!O256,0)</f>
        <v>0</v>
      </c>
      <c r="O10" s="524">
        <f>IF('Datu ievade'!$B$14='Datu ievade'!$AI$5,Aprēķini!P256,0)</f>
        <v>0</v>
      </c>
      <c r="P10" s="524">
        <f>IF('Datu ievade'!$B$14='Datu ievade'!$AI$5,Aprēķini!Q256,0)</f>
        <v>0</v>
      </c>
      <c r="Q10" s="524">
        <f>IF('Datu ievade'!$B$14='Datu ievade'!$AI$5,Aprēķini!R256,0)</f>
        <v>0</v>
      </c>
      <c r="R10" s="524">
        <f>IF('Datu ievade'!$B$14='Datu ievade'!$AI$5,Aprēķini!S256,0)</f>
        <v>0</v>
      </c>
      <c r="S10" s="524">
        <f>IF('Datu ievade'!$B$14='Datu ievade'!$AI$5,Aprēķini!T256,0)</f>
        <v>0</v>
      </c>
      <c r="T10" s="524">
        <f>IF('Datu ievade'!$B$14='Datu ievade'!$AI$5,Aprēķini!U256,0)</f>
        <v>0</v>
      </c>
      <c r="U10" s="524">
        <f>IF('Datu ievade'!$B$14='Datu ievade'!$AI$5,Aprēķini!V256,0)</f>
        <v>0</v>
      </c>
      <c r="V10" s="524">
        <f>IF('Datu ievade'!$B$14='Datu ievade'!$AI$5,Aprēķini!W256,0)</f>
        <v>0</v>
      </c>
      <c r="W10" s="524">
        <f>IF('Datu ievade'!$B$14='Datu ievade'!$AI$5,Aprēķini!X256,0)</f>
        <v>0</v>
      </c>
      <c r="X10" s="524">
        <f>IF('Datu ievade'!$B$14='Datu ievade'!$AI$5,Aprēķini!Y256,0)</f>
        <v>0</v>
      </c>
      <c r="Y10" s="524">
        <f>IF('Datu ievade'!$B$14='Datu ievade'!$AI$5,Aprēķini!Z256,0)</f>
        <v>0</v>
      </c>
      <c r="Z10" s="524">
        <f>IF('Datu ievade'!$B$14='Datu ievade'!$AI$5,Aprēķini!AA256,0)</f>
        <v>0</v>
      </c>
      <c r="AA10" s="524">
        <f>IF('Datu ievade'!$B$14='Datu ievade'!$AI$5,Aprēķini!AB256,0)</f>
        <v>0</v>
      </c>
      <c r="AB10" s="524">
        <f>IF('Datu ievade'!$B$14='Datu ievade'!$AI$5,Aprēķini!AC256,0)</f>
        <v>0</v>
      </c>
      <c r="AC10" s="524">
        <f>IF('Datu ievade'!$B$14='Datu ievade'!$AI$5,Aprēķini!AD256,0)</f>
        <v>0</v>
      </c>
      <c r="AD10" s="524">
        <f>IF('Datu ievade'!$B$14='Datu ievade'!$AI$5,Aprēķini!AE256,0)</f>
        <v>0</v>
      </c>
      <c r="AE10" s="524">
        <f>IF('Datu ievade'!$B$14='Datu ievade'!$AI$5,Aprēķini!AF256,0)</f>
        <v>0</v>
      </c>
      <c r="AF10" s="524">
        <f>IF('Datu ievade'!$B$14='Datu ievade'!$AI$5,Aprēķini!AG256,0)</f>
        <v>0</v>
      </c>
      <c r="AG10" s="524">
        <f>IF('Datu ievade'!$B$14='Datu ievade'!$AI$5,Aprēķini!AH256,0)</f>
        <v>0</v>
      </c>
    </row>
    <row r="11" spans="1:33" ht="12.75" x14ac:dyDescent="0.2">
      <c r="A11" s="30" t="s">
        <v>117</v>
      </c>
      <c r="B11" s="524">
        <f>IF('Datu ievade'!$B$224='Datu ievade'!$AI$3,Aprēķini!C256,0)</f>
        <v>1242.5840000000001</v>
      </c>
      <c r="C11" s="524">
        <f>IF('Datu ievade'!$B$224='Datu ievade'!$AI$3,Aprēķini!D256,0)</f>
        <v>1699.9950000000001</v>
      </c>
      <c r="D11" s="524">
        <f>IF('Datu ievade'!$B$224='Datu ievade'!$AI$3,Aprēķini!E256,0)</f>
        <v>10877.636316666667</v>
      </c>
      <c r="E11" s="524">
        <f>IF('Datu ievade'!$B$224='Datu ievade'!$AI$3,Aprēķini!F256,0)</f>
        <v>10837.733528333334</v>
      </c>
      <c r="F11" s="524">
        <f>IF('Datu ievade'!$B$224='Datu ievade'!$AI$3,Aprēķini!G256,0)</f>
        <v>10797.830739999999</v>
      </c>
      <c r="G11" s="524">
        <f>IF('Datu ievade'!$B$224='Datu ievade'!$AI$3,Aprēķini!H256,0)</f>
        <v>10757.927951666667</v>
      </c>
      <c r="H11" s="524">
        <f>IF('Datu ievade'!$B$224='Datu ievade'!$AI$3,Aprēķini!I256,0)</f>
        <v>10718.025163333332</v>
      </c>
      <c r="I11" s="524">
        <f>IF('Datu ievade'!$B$224='Datu ievade'!$AI$3,Aprēķini!J256,0)</f>
        <v>10678.122374999999</v>
      </c>
      <c r="J11" s="524">
        <f>IF('Datu ievade'!$B$224='Datu ievade'!$AI$3,Aprēķini!K256,0)</f>
        <v>10638.219586666666</v>
      </c>
      <c r="K11" s="524">
        <f>IF('Datu ievade'!$B$224='Datu ievade'!$AI$3,Aprēķini!L256,0)</f>
        <v>10598.316798333333</v>
      </c>
      <c r="L11" s="524">
        <f>IF('Datu ievade'!$B$224='Datu ievade'!$AI$3,Aprēķini!M256,0)</f>
        <v>10558.414009999999</v>
      </c>
      <c r="M11" s="524">
        <f>IF('Datu ievade'!$B$224='Datu ievade'!$AI$3,Aprēķini!N256,0)</f>
        <v>10518.511221666666</v>
      </c>
      <c r="N11" s="524">
        <f>IF('Datu ievade'!$B$224='Datu ievade'!$AI$3,Aprēķini!O256,0)</f>
        <v>10478.608433333331</v>
      </c>
      <c r="O11" s="524">
        <f>IF('Datu ievade'!$B$224='Datu ievade'!$AI$3,Aprēķini!P256,0)</f>
        <v>10438.705644999998</v>
      </c>
      <c r="P11" s="524">
        <f>IF('Datu ievade'!$B$224='Datu ievade'!$AI$3,Aprēķini!Q256,0)</f>
        <v>10398.802856666665</v>
      </c>
      <c r="Q11" s="524">
        <f>IF('Datu ievade'!$B$224='Datu ievade'!$AI$3,Aprēķini!R256,0)</f>
        <v>10358.900068333332</v>
      </c>
      <c r="R11" s="524">
        <f>IF('Datu ievade'!$B$224='Datu ievade'!$AI$3,Aprēķini!S256,0)</f>
        <v>10318.997279999998</v>
      </c>
      <c r="S11" s="524">
        <f>IF('Datu ievade'!$B$224='Datu ievade'!$AI$3,Aprēķini!T256,0)</f>
        <v>10279.094491666665</v>
      </c>
      <c r="T11" s="524">
        <f>IF('Datu ievade'!$B$224='Datu ievade'!$AI$3,Aprēķini!U256,0)</f>
        <v>10239.191703333332</v>
      </c>
      <c r="U11" s="524">
        <f>IF('Datu ievade'!$B$224='Datu ievade'!$AI$3,Aprēķini!V256,0)</f>
        <v>10199.288914999997</v>
      </c>
      <c r="V11" s="524">
        <f>IF('Datu ievade'!$B$224='Datu ievade'!$AI$3,Aprēķini!W256,0)</f>
        <v>10159.386126666664</v>
      </c>
      <c r="W11" s="524">
        <f>IF('Datu ievade'!$B$224='Datu ievade'!$AI$3,Aprēķini!X256,0)</f>
        <v>10119.483338333332</v>
      </c>
      <c r="X11" s="524">
        <f>IF('Datu ievade'!$B$224='Datu ievade'!$AI$3,Aprēķini!Y256,0)</f>
        <v>10079.580549999997</v>
      </c>
      <c r="Y11" s="524">
        <f>IF('Datu ievade'!$B$224='Datu ievade'!$AI$3,Aprēķini!Z256,0)</f>
        <v>10039.677761666664</v>
      </c>
      <c r="Z11" s="524">
        <f>IF('Datu ievade'!$B$224='Datu ievade'!$AI$3,Aprēķini!AA256,0)</f>
        <v>9999.7749733333312</v>
      </c>
      <c r="AA11" s="524">
        <f>IF('Datu ievade'!$B$224='Datu ievade'!$AI$3,Aprēķini!AB256,0)</f>
        <v>9959.8721849999965</v>
      </c>
      <c r="AB11" s="524">
        <f>IF('Datu ievade'!$B$224='Datu ievade'!$AI$3,Aprēķini!AC256,0)</f>
        <v>9919.9693966666637</v>
      </c>
      <c r="AC11" s="524">
        <f>IF('Datu ievade'!$B$224='Datu ievade'!$AI$3,Aprēķini!AD256,0)</f>
        <v>9880.0666083333308</v>
      </c>
      <c r="AD11" s="524">
        <f>IF('Datu ievade'!$B$224='Datu ievade'!$AI$3,Aprēķini!AE256,0)</f>
        <v>9840.1638199999979</v>
      </c>
      <c r="AE11" s="524">
        <f>IF('Datu ievade'!$B$224='Datu ievade'!$AI$3,Aprēķini!AF256,0)</f>
        <v>9800.2610316666633</v>
      </c>
      <c r="AF11" s="524">
        <f>IF('Datu ievade'!$B$224='Datu ievade'!$AI$3,Aprēķini!AG256,0)</f>
        <v>9760.3582433333304</v>
      </c>
      <c r="AG11" s="524">
        <f>IF('Datu ievade'!$B$224='Datu ievade'!$AI$3,Aprēķini!AH256,0)</f>
        <v>9720.4554549999957</v>
      </c>
    </row>
    <row r="12" spans="1:33" ht="12.75" x14ac:dyDescent="0.2">
      <c r="A12" s="523" t="s">
        <v>118</v>
      </c>
      <c r="B12" s="545">
        <f t="shared" ref="B12:AG12" si="1">SUM(B8:B11)</f>
        <v>1358484.584</v>
      </c>
      <c r="C12" s="545">
        <f t="shared" si="1"/>
        <v>1524954.9950000001</v>
      </c>
      <c r="D12" s="545">
        <f t="shared" si="1"/>
        <v>1225889.6363166666</v>
      </c>
      <c r="E12" s="545">
        <f t="shared" si="1"/>
        <v>1095860.7335283333</v>
      </c>
      <c r="F12" s="545">
        <f t="shared" si="1"/>
        <v>941756.83074</v>
      </c>
      <c r="G12" s="545">
        <f t="shared" si="1"/>
        <v>796090.92795166664</v>
      </c>
      <c r="H12" s="545">
        <f t="shared" si="1"/>
        <v>696687.02516333328</v>
      </c>
      <c r="I12" s="545">
        <f t="shared" si="1"/>
        <v>697701.87612226349</v>
      </c>
      <c r="J12" s="545">
        <f t="shared" si="1"/>
        <v>675798.0079243239</v>
      </c>
      <c r="K12" s="545">
        <f t="shared" si="1"/>
        <v>616664.07054559689</v>
      </c>
      <c r="L12" s="545">
        <f t="shared" si="1"/>
        <v>471416.50109059684</v>
      </c>
      <c r="M12" s="545">
        <f t="shared" si="1"/>
        <v>452145.59830226348</v>
      </c>
      <c r="N12" s="545">
        <f t="shared" si="1"/>
        <v>438779.49551393016</v>
      </c>
      <c r="O12" s="545">
        <f t="shared" si="1"/>
        <v>438739.5927255968</v>
      </c>
      <c r="P12" s="545">
        <f t="shared" si="1"/>
        <v>434084.97565154923</v>
      </c>
      <c r="Q12" s="545">
        <f t="shared" si="1"/>
        <v>407939.94786321587</v>
      </c>
      <c r="R12" s="545">
        <f t="shared" si="1"/>
        <v>387817.04507488251</v>
      </c>
      <c r="S12" s="545">
        <f t="shared" si="1"/>
        <v>246759.64228654915</v>
      </c>
      <c r="T12" s="545">
        <f t="shared" si="1"/>
        <v>211034.28495276129</v>
      </c>
      <c r="U12" s="545">
        <f t="shared" si="1"/>
        <v>203333.38216442795</v>
      </c>
      <c r="V12" s="545">
        <f t="shared" si="1"/>
        <v>203293.47937609459</v>
      </c>
      <c r="W12" s="545">
        <f t="shared" si="1"/>
        <v>203253.57658776129</v>
      </c>
      <c r="X12" s="545">
        <f t="shared" si="1"/>
        <v>203213.67379942792</v>
      </c>
      <c r="Y12" s="545">
        <f t="shared" si="1"/>
        <v>203173.77101109459</v>
      </c>
      <c r="Z12" s="545">
        <f t="shared" si="1"/>
        <v>203133.86822276126</v>
      </c>
      <c r="AA12" s="545">
        <f t="shared" si="1"/>
        <v>203093.96543442793</v>
      </c>
      <c r="AB12" s="545">
        <f t="shared" si="1"/>
        <v>174925.58896188406</v>
      </c>
      <c r="AC12" s="545">
        <f t="shared" si="1"/>
        <v>174885.68617355073</v>
      </c>
      <c r="AD12" s="545">
        <f t="shared" si="1"/>
        <v>174845.78338521739</v>
      </c>
      <c r="AE12" s="545">
        <f t="shared" si="1"/>
        <v>174805.88059688406</v>
      </c>
      <c r="AF12" s="545">
        <f t="shared" si="1"/>
        <v>76642.108243333336</v>
      </c>
      <c r="AG12" s="545">
        <f t="shared" si="1"/>
        <v>9720.4554549999957</v>
      </c>
    </row>
    <row r="13" spans="1:33" ht="12.75" x14ac:dyDescent="0.2">
      <c r="A13" s="523" t="s">
        <v>365</v>
      </c>
      <c r="B13" s="545">
        <f>'Datu ievade'!B234</f>
        <v>23562401</v>
      </c>
      <c r="C13" s="545">
        <f>'Datu ievade'!C234</f>
        <v>23562401</v>
      </c>
      <c r="D13" s="545">
        <f>'Datu ievade'!D234</f>
        <v>23562401</v>
      </c>
      <c r="E13" s="545">
        <f>'Datu ievade'!E234</f>
        <v>23562401</v>
      </c>
      <c r="F13" s="545">
        <f>'Datu ievade'!F234</f>
        <v>23562401</v>
      </c>
      <c r="G13" s="545">
        <f>'Datu ievade'!G234</f>
        <v>23562401</v>
      </c>
      <c r="H13" s="545">
        <f>'Datu ievade'!H234</f>
        <v>23562401</v>
      </c>
      <c r="I13" s="545">
        <f>'Datu ievade'!I234</f>
        <v>23562401</v>
      </c>
      <c r="J13" s="545">
        <f>'Datu ievade'!J234</f>
        <v>23562401</v>
      </c>
      <c r="K13" s="545">
        <f>'Datu ievade'!K234</f>
        <v>23562401</v>
      </c>
      <c r="L13" s="545">
        <f>'Datu ievade'!L234</f>
        <v>23562401</v>
      </c>
      <c r="M13" s="545">
        <f>'Datu ievade'!M234</f>
        <v>23562401</v>
      </c>
      <c r="N13" s="545">
        <f>'Datu ievade'!N234</f>
        <v>23562401</v>
      </c>
      <c r="O13" s="545">
        <f>'Datu ievade'!O234</f>
        <v>23562401</v>
      </c>
      <c r="P13" s="545">
        <f>'Datu ievade'!P234</f>
        <v>23562401</v>
      </c>
      <c r="Q13" s="545">
        <f>'Datu ievade'!Q234</f>
        <v>23562401</v>
      </c>
      <c r="R13" s="545">
        <f>'Datu ievade'!R234</f>
        <v>23562401</v>
      </c>
      <c r="S13" s="545">
        <f>'Datu ievade'!S234</f>
        <v>23562401</v>
      </c>
      <c r="T13" s="545">
        <f>'Datu ievade'!T234</f>
        <v>23562401</v>
      </c>
      <c r="U13" s="545">
        <f>'Datu ievade'!U234</f>
        <v>23562401</v>
      </c>
      <c r="V13" s="545">
        <f>'Datu ievade'!V234</f>
        <v>23562401</v>
      </c>
      <c r="W13" s="545">
        <f>'Datu ievade'!W234</f>
        <v>23562401</v>
      </c>
      <c r="X13" s="545">
        <f>'Datu ievade'!X234</f>
        <v>23562401</v>
      </c>
      <c r="Y13" s="545">
        <f>'Datu ievade'!Y234</f>
        <v>23562401</v>
      </c>
      <c r="Z13" s="545">
        <f>'Datu ievade'!Z234</f>
        <v>23562401</v>
      </c>
      <c r="AA13" s="545">
        <f>'Datu ievade'!AA234</f>
        <v>23562401</v>
      </c>
      <c r="AB13" s="545">
        <f>'Datu ievade'!AB234</f>
        <v>23562401</v>
      </c>
      <c r="AC13" s="545">
        <f>'Datu ievade'!AC234</f>
        <v>23562401</v>
      </c>
      <c r="AD13" s="545">
        <f>'Datu ievade'!AD234</f>
        <v>23562401</v>
      </c>
      <c r="AE13" s="545">
        <f>'Datu ievade'!AE234</f>
        <v>23562401</v>
      </c>
      <c r="AF13" s="545">
        <f>'Datu ievade'!AF234</f>
        <v>23562401</v>
      </c>
      <c r="AG13" s="545">
        <f>'Datu ievade'!AG234</f>
        <v>23562401</v>
      </c>
    </row>
    <row r="14" spans="1:33" ht="12.75" x14ac:dyDescent="0.2">
      <c r="A14" s="546" t="s">
        <v>119</v>
      </c>
      <c r="B14" s="547">
        <f t="shared" ref="B14:AG14" si="2">B12/B13</f>
        <v>5.7654760395598054E-2</v>
      </c>
      <c r="C14" s="547">
        <f t="shared" si="2"/>
        <v>6.4719847310976505E-2</v>
      </c>
      <c r="D14" s="547">
        <f t="shared" si="2"/>
        <v>5.202736496661213E-2</v>
      </c>
      <c r="E14" s="547">
        <f t="shared" si="2"/>
        <v>4.6508873757319269E-2</v>
      </c>
      <c r="F14" s="547">
        <f t="shared" si="2"/>
        <v>3.9968627591899487E-2</v>
      </c>
      <c r="G14" s="547">
        <f t="shared" si="2"/>
        <v>3.3786494336959405E-2</v>
      </c>
      <c r="H14" s="547">
        <f t="shared" si="2"/>
        <v>2.9567743336654583E-2</v>
      </c>
      <c r="I14" s="547">
        <f t="shared" si="2"/>
        <v>2.9610814115346881E-2</v>
      </c>
      <c r="J14" s="547">
        <f t="shared" si="2"/>
        <v>2.8681203071126916E-2</v>
      </c>
      <c r="K14" s="547">
        <f t="shared" si="2"/>
        <v>2.6171529401676719E-2</v>
      </c>
      <c r="L14" s="547">
        <f t="shared" si="2"/>
        <v>2.0007150421156011E-2</v>
      </c>
      <c r="M14" s="547">
        <f t="shared" si="2"/>
        <v>1.9189283736503061E-2</v>
      </c>
      <c r="N14" s="547">
        <f t="shared" si="2"/>
        <v>1.8622019696291993E-2</v>
      </c>
      <c r="O14" s="547">
        <f t="shared" si="2"/>
        <v>1.8620326202138601E-2</v>
      </c>
      <c r="P14" s="547">
        <f t="shared" si="2"/>
        <v>1.8422781941940011E-2</v>
      </c>
      <c r="Q14" s="547">
        <f t="shared" si="2"/>
        <v>1.7313173978458982E-2</v>
      </c>
      <c r="R14" s="547">
        <f t="shared" si="2"/>
        <v>1.6459147990685777E-2</v>
      </c>
      <c r="S14" s="547">
        <f t="shared" si="2"/>
        <v>1.0472601764419049E-2</v>
      </c>
      <c r="T14" s="547">
        <f t="shared" si="2"/>
        <v>8.9563998572455023E-3</v>
      </c>
      <c r="U14" s="547">
        <f t="shared" si="2"/>
        <v>8.6295697184861579E-3</v>
      </c>
      <c r="V14" s="547">
        <f t="shared" si="2"/>
        <v>8.6278762243327655E-3</v>
      </c>
      <c r="W14" s="547">
        <f t="shared" si="2"/>
        <v>8.6261827301793766E-3</v>
      </c>
      <c r="X14" s="547">
        <f t="shared" si="2"/>
        <v>8.624489236025986E-3</v>
      </c>
      <c r="Y14" s="547">
        <f t="shared" si="2"/>
        <v>8.6227957418725954E-3</v>
      </c>
      <c r="Z14" s="547">
        <f t="shared" si="2"/>
        <v>8.6211022477192048E-3</v>
      </c>
      <c r="AA14" s="547">
        <f t="shared" si="2"/>
        <v>8.6194087535658159E-3</v>
      </c>
      <c r="AB14" s="547">
        <f t="shared" si="2"/>
        <v>7.4239288670914332E-3</v>
      </c>
      <c r="AC14" s="547">
        <f t="shared" si="2"/>
        <v>7.4222353729380434E-3</v>
      </c>
      <c r="AD14" s="547">
        <f t="shared" si="2"/>
        <v>7.4205418787846537E-3</v>
      </c>
      <c r="AE14" s="547">
        <f t="shared" si="2"/>
        <v>7.4188483846312631E-3</v>
      </c>
      <c r="AF14" s="547">
        <f t="shared" si="2"/>
        <v>3.2527291358522138E-3</v>
      </c>
      <c r="AG14" s="547">
        <f t="shared" si="2"/>
        <v>4.1254095688295924E-4</v>
      </c>
    </row>
    <row r="15" spans="1:33" s="28" customFormat="1" ht="12.75" x14ac:dyDescent="0.2"/>
    <row r="18" spans="1:34" ht="18" x14ac:dyDescent="0.2">
      <c r="A18" s="117"/>
    </row>
    <row r="19" spans="1:34" ht="15" customHeight="1" x14ac:dyDescent="0.2">
      <c r="A19" s="117"/>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row>
    <row r="20" spans="1:34" ht="12.75" x14ac:dyDescent="0.2">
      <c r="A20" s="118"/>
    </row>
    <row r="21" spans="1:34" ht="12.75" x14ac:dyDescent="0.2">
      <c r="A21" s="104"/>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19"/>
    </row>
    <row r="22" spans="1:34" ht="12.75" x14ac:dyDescent="0.2">
      <c r="A22" s="104"/>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19"/>
    </row>
    <row r="23" spans="1:34" ht="12.75" x14ac:dyDescent="0.2">
      <c r="A23" s="104"/>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19"/>
    </row>
    <row r="24" spans="1:34" ht="12.75" x14ac:dyDescent="0.2">
      <c r="A24" s="104"/>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19"/>
    </row>
    <row r="25" spans="1:34" ht="12.75" x14ac:dyDescent="0.2">
      <c r="A25" s="104"/>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19"/>
    </row>
    <row r="26" spans="1:34" ht="12.75" x14ac:dyDescent="0.2">
      <c r="A26" s="104"/>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19"/>
    </row>
    <row r="27" spans="1:34" ht="12.75" x14ac:dyDescent="0.2">
      <c r="A27" s="104"/>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19"/>
    </row>
    <row r="28" spans="1:34" ht="12.75" x14ac:dyDescent="0.2">
      <c r="A28" s="104"/>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19"/>
    </row>
    <row r="29" spans="1:34" ht="12.75" x14ac:dyDescent="0.2">
      <c r="A29" s="104"/>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19"/>
    </row>
    <row r="30" spans="1:34" ht="12.75" x14ac:dyDescent="0.2">
      <c r="A30" s="104"/>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19"/>
    </row>
    <row r="31" spans="1:34" ht="12.75" x14ac:dyDescent="0.2">
      <c r="A31" s="120"/>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19"/>
    </row>
    <row r="32" spans="1:34" ht="12.75" x14ac:dyDescent="0.2">
      <c r="A32" s="120"/>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19"/>
    </row>
    <row r="33" spans="1:34" ht="12.75" x14ac:dyDescent="0.2">
      <c r="A33" s="118"/>
      <c r="B33" s="121"/>
      <c r="C33" s="121"/>
      <c r="D33" s="121"/>
      <c r="E33" s="121"/>
      <c r="F33" s="121"/>
      <c r="AH33" s="28"/>
    </row>
    <row r="34" spans="1:34" ht="12.75" x14ac:dyDescent="0.2">
      <c r="A34" s="104"/>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19"/>
    </row>
    <row r="35" spans="1:34" ht="12.75" x14ac:dyDescent="0.2">
      <c r="A35" s="104"/>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19"/>
    </row>
    <row r="36" spans="1:34" ht="12.75" x14ac:dyDescent="0.2">
      <c r="A36" s="120"/>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19"/>
    </row>
    <row r="37" spans="1:34" ht="12.75" x14ac:dyDescent="0.2">
      <c r="A37" s="118"/>
      <c r="B37" s="121"/>
      <c r="C37" s="121"/>
      <c r="D37" s="121"/>
      <c r="E37" s="121"/>
      <c r="F37" s="121"/>
      <c r="AH37" s="28"/>
    </row>
    <row r="38" spans="1:34" ht="12.75" x14ac:dyDescent="0.2">
      <c r="A38" s="104"/>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19"/>
    </row>
    <row r="39" spans="1:34" ht="12.75" x14ac:dyDescent="0.2">
      <c r="A39" s="104"/>
      <c r="B39" s="104"/>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19"/>
    </row>
    <row r="40" spans="1:34" ht="12.75" x14ac:dyDescent="0.2">
      <c r="A40" s="118"/>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row>
    <row r="41" spans="1:34" ht="12.75" x14ac:dyDescent="0.2">
      <c r="A41" s="118"/>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row>
    <row r="42" spans="1:34" ht="12.75" x14ac:dyDescent="0.2">
      <c r="A42" s="118"/>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row>
    <row r="43" spans="1:34" ht="12.75" x14ac:dyDescent="0.2">
      <c r="A43" s="118"/>
      <c r="B43" s="495"/>
      <c r="C43" s="495"/>
      <c r="D43" s="495"/>
      <c r="E43" s="495"/>
      <c r="F43" s="495"/>
      <c r="G43" s="495"/>
      <c r="H43" s="495"/>
      <c r="I43" s="495"/>
      <c r="J43" s="495"/>
      <c r="K43" s="495"/>
      <c r="L43" s="495"/>
      <c r="M43" s="495"/>
      <c r="N43" s="495"/>
      <c r="O43" s="495"/>
      <c r="P43" s="495"/>
      <c r="Q43" s="495"/>
      <c r="R43" s="495"/>
      <c r="S43" s="495"/>
      <c r="T43" s="495"/>
      <c r="U43" s="495"/>
      <c r="V43" s="495"/>
      <c r="W43" s="495"/>
      <c r="X43" s="495"/>
      <c r="Y43" s="495"/>
      <c r="Z43" s="495"/>
      <c r="AA43" s="495"/>
      <c r="AB43" s="495"/>
      <c r="AC43" s="495"/>
      <c r="AD43" s="495"/>
      <c r="AE43" s="495"/>
      <c r="AF43" s="495"/>
      <c r="AG43" s="495"/>
    </row>
    <row r="46" spans="1:34" ht="15" x14ac:dyDescent="0.2">
      <c r="A46" s="496"/>
    </row>
    <row r="47" spans="1:34" ht="36" customHeight="1" x14ac:dyDescent="0.2">
      <c r="A47" s="497"/>
      <c r="B47" s="498"/>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row>
    <row r="48" spans="1:34" ht="40.5" customHeight="1" x14ac:dyDescent="0.2">
      <c r="A48" s="497"/>
      <c r="B48" s="499"/>
      <c r="C48" s="499"/>
      <c r="D48" s="499"/>
      <c r="E48" s="499"/>
      <c r="F48" s="499"/>
      <c r="G48" s="499"/>
      <c r="H48" s="499"/>
      <c r="I48" s="499"/>
      <c r="J48" s="499"/>
      <c r="K48" s="499"/>
      <c r="L48" s="499"/>
      <c r="M48" s="499"/>
      <c r="N48" s="499"/>
      <c r="O48" s="499"/>
      <c r="P48" s="499"/>
      <c r="Q48" s="499"/>
      <c r="R48" s="499"/>
      <c r="S48" s="499"/>
      <c r="T48" s="499"/>
      <c r="U48" s="499"/>
      <c r="V48" s="499"/>
      <c r="W48" s="499"/>
      <c r="X48" s="499"/>
      <c r="Y48" s="499"/>
      <c r="Z48" s="499"/>
      <c r="AA48" s="499"/>
      <c r="AB48" s="499"/>
      <c r="AC48" s="499"/>
      <c r="AD48" s="499"/>
      <c r="AE48" s="499"/>
      <c r="AF48" s="499"/>
      <c r="AG48" s="499"/>
    </row>
  </sheetData>
  <phoneticPr fontId="2" type="noConversion"/>
  <printOptions horizontalCentered="1"/>
  <pageMargins left="0.59027777777777779" right="0.59027777777777779" top="0.75" bottom="0.88888888888888884" header="0.51180555555555551" footer="0.75"/>
  <pageSetup paperSize="9" scale="59" firstPageNumber="0" orientation="landscape" horizontalDpi="300" verticalDpi="300" r:id="rId1"/>
  <headerFooter alignWithMargins="0">
    <oddFooter>&amp;L&amp;A&amp;R&amp;P</oddFooter>
  </headerFooter>
  <colBreaks count="1" manualBreakCount="1">
    <brk id="1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1"/>
  <sheetViews>
    <sheetView showGridLines="0" zoomScale="85" workbookViewId="0">
      <pane xSplit="1" topLeftCell="P1" activePane="topRight" state="frozen"/>
      <selection pane="topRight" activeCell="R71" sqref="R71"/>
    </sheetView>
  </sheetViews>
  <sheetFormatPr defaultRowHeight="10.5" outlineLevelRow="1" x14ac:dyDescent="0.2"/>
  <cols>
    <col min="1" max="1" width="60.140625" style="312" customWidth="1"/>
    <col min="2" max="2" width="10.140625" style="312" customWidth="1"/>
    <col min="3" max="16384" width="9.140625" style="312"/>
  </cols>
  <sheetData>
    <row r="1" spans="1:34" ht="19.5" x14ac:dyDescent="0.2">
      <c r="A1" s="492" t="str">
        <f>'Datu ievade'!$B$12</f>
        <v>SIA "Dobeles Ūdens"</v>
      </c>
    </row>
    <row r="2" spans="1:34" ht="18" x14ac:dyDescent="0.2">
      <c r="A2" s="489" t="str">
        <f>'Datu ievade'!$B$13</f>
        <v>"Kanalizācijas tīklu paplašināšana Dobeles aglomerācijā" II kārta</v>
      </c>
    </row>
    <row r="3" spans="1:34" s="313" customFormat="1" ht="19.5" x14ac:dyDescent="0.2">
      <c r="A3" s="646" t="s">
        <v>120</v>
      </c>
      <c r="B3" s="491"/>
    </row>
    <row r="4" spans="1:34" ht="12.75" x14ac:dyDescent="0.2">
      <c r="B4" s="311"/>
      <c r="C4" s="311"/>
      <c r="D4" s="311"/>
      <c r="E4" s="311"/>
      <c r="F4" s="311"/>
      <c r="G4" s="311"/>
      <c r="H4" s="311"/>
      <c r="I4" s="311"/>
      <c r="J4" s="311"/>
      <c r="K4" s="311"/>
      <c r="L4" s="311"/>
      <c r="M4" s="311"/>
      <c r="N4" s="311"/>
      <c r="O4" s="311"/>
      <c r="Q4" s="311"/>
    </row>
    <row r="5" spans="1:34" ht="15" x14ac:dyDescent="0.2">
      <c r="A5" s="493" t="s">
        <v>121</v>
      </c>
    </row>
    <row r="6" spans="1:34" ht="12.75" x14ac:dyDescent="0.2">
      <c r="A6" s="517"/>
      <c r="B6" s="112">
        <f>Aprēķini!B6</f>
        <v>2017</v>
      </c>
      <c r="C6" s="112">
        <f t="shared" ref="C6:AG6" si="0">B6+1</f>
        <v>2018</v>
      </c>
      <c r="D6" s="112">
        <f t="shared" si="0"/>
        <v>2019</v>
      </c>
      <c r="E6" s="112">
        <f t="shared" si="0"/>
        <v>2020</v>
      </c>
      <c r="F6" s="112">
        <f t="shared" si="0"/>
        <v>2021</v>
      </c>
      <c r="G6" s="112">
        <f t="shared" si="0"/>
        <v>2022</v>
      </c>
      <c r="H6" s="112">
        <f t="shared" si="0"/>
        <v>2023</v>
      </c>
      <c r="I6" s="112">
        <f t="shared" si="0"/>
        <v>2024</v>
      </c>
      <c r="J6" s="112">
        <f t="shared" si="0"/>
        <v>2025</v>
      </c>
      <c r="K6" s="112">
        <f t="shared" si="0"/>
        <v>2026</v>
      </c>
      <c r="L6" s="112">
        <f t="shared" si="0"/>
        <v>2027</v>
      </c>
      <c r="M6" s="112">
        <f t="shared" si="0"/>
        <v>2028</v>
      </c>
      <c r="N6" s="112">
        <f t="shared" si="0"/>
        <v>2029</v>
      </c>
      <c r="O6" s="112">
        <f t="shared" si="0"/>
        <v>2030</v>
      </c>
      <c r="P6" s="112">
        <f t="shared" si="0"/>
        <v>2031</v>
      </c>
      <c r="Q6" s="112">
        <f t="shared" si="0"/>
        <v>2032</v>
      </c>
      <c r="R6" s="112">
        <f t="shared" si="0"/>
        <v>2033</v>
      </c>
      <c r="S6" s="112">
        <f t="shared" si="0"/>
        <v>2034</v>
      </c>
      <c r="T6" s="112">
        <f t="shared" si="0"/>
        <v>2035</v>
      </c>
      <c r="U6" s="112">
        <f t="shared" si="0"/>
        <v>2036</v>
      </c>
      <c r="V6" s="112">
        <f t="shared" si="0"/>
        <v>2037</v>
      </c>
      <c r="W6" s="112">
        <f t="shared" si="0"/>
        <v>2038</v>
      </c>
      <c r="X6" s="112">
        <f t="shared" si="0"/>
        <v>2039</v>
      </c>
      <c r="Y6" s="112">
        <f t="shared" si="0"/>
        <v>2040</v>
      </c>
      <c r="Z6" s="112">
        <f t="shared" si="0"/>
        <v>2041</v>
      </c>
      <c r="AA6" s="112">
        <f t="shared" si="0"/>
        <v>2042</v>
      </c>
      <c r="AB6" s="112">
        <f t="shared" si="0"/>
        <v>2043</v>
      </c>
      <c r="AC6" s="112">
        <f t="shared" si="0"/>
        <v>2044</v>
      </c>
      <c r="AD6" s="112">
        <f t="shared" si="0"/>
        <v>2045</v>
      </c>
      <c r="AE6" s="112">
        <f t="shared" si="0"/>
        <v>2046</v>
      </c>
      <c r="AF6" s="112">
        <f t="shared" si="0"/>
        <v>2047</v>
      </c>
      <c r="AG6" s="112">
        <f t="shared" si="0"/>
        <v>2048</v>
      </c>
      <c r="AH6" s="112">
        <f>AG6+1</f>
        <v>2049</v>
      </c>
    </row>
    <row r="7" spans="1:34" ht="14.25" customHeight="1" x14ac:dyDescent="0.2">
      <c r="A7" s="518" t="s">
        <v>122</v>
      </c>
      <c r="B7" s="519">
        <f>'Datu ievade'!B205*'Datu ievade'!B206</f>
        <v>965.17499999999995</v>
      </c>
      <c r="C7" s="519">
        <f>$B$7*HLOOKUP(C6,'Kopējie pieņēmumi'!$B$7:$AD$17,6)</f>
        <v>994.13024999999993</v>
      </c>
      <c r="D7" s="519">
        <f>$B$7*HLOOKUP(D6,'Kopējie pieņēmumi'!$B$7:$AD$17,6)</f>
        <v>1023.0855</v>
      </c>
      <c r="E7" s="519">
        <f>$B$7*HLOOKUP(E6,'Kopējie pieņēmumi'!$B$7:$AD$17,6)</f>
        <v>1042.3890000000001</v>
      </c>
      <c r="F7" s="519">
        <f>$B$7*HLOOKUP(F6,'Kopējie pieņēmumi'!$B$7:$AD$17,6)</f>
        <v>1061.6925000000001</v>
      </c>
      <c r="G7" s="519">
        <f>$B$7*HLOOKUP(G6,'Kopējie pieņēmumi'!$B$7:$AD$17,6)</f>
        <v>1080.9960000000001</v>
      </c>
      <c r="H7" s="519">
        <f>$B$7*HLOOKUP(H6,'Kopējie pieņēmumi'!$B$7:$AD$17,6)</f>
        <v>1100.2994999999999</v>
      </c>
      <c r="I7" s="519">
        <f>$B$7*HLOOKUP(I6,'Kopējie pieņēmumi'!$B$7:$AD$17,6)</f>
        <v>1119.6029999999998</v>
      </c>
      <c r="J7" s="519">
        <f>$B$7*HLOOKUP(J6,'Kopējie pieņēmumi'!$B$7:$AD$17,6)</f>
        <v>1138.9064999999998</v>
      </c>
      <c r="K7" s="519">
        <f>$B$7*HLOOKUP(K6,'Kopējie pieņēmumi'!$B$7:$AD$17,6)</f>
        <v>1158.2099999999998</v>
      </c>
      <c r="L7" s="519">
        <f>$B$7*HLOOKUP(L6,'Kopējie pieņēmumi'!$B$7:$AD$17,6)</f>
        <v>1187.16525</v>
      </c>
      <c r="M7" s="519">
        <f>$B$7*HLOOKUP(M6,'Kopējie pieņēmumi'!$B$7:$AD$17,6)</f>
        <v>1216.1205</v>
      </c>
      <c r="N7" s="519">
        <f>$B$7*HLOOKUP(N6,'Kopējie pieņēmumi'!$B$7:$AD$17,6)</f>
        <v>1245.07575</v>
      </c>
      <c r="O7" s="519">
        <f>$B$7*HLOOKUP(O6,'Kopējie pieņēmumi'!$B$7:$AD$17,6)</f>
        <v>1274.0309999999999</v>
      </c>
      <c r="P7" s="519">
        <f>$B$7*HLOOKUP(P6,'Kopējie pieņēmumi'!$B$7:$AD$17,6)</f>
        <v>1302.9862499999999</v>
      </c>
      <c r="Q7" s="519">
        <f>$B$7*HLOOKUP(Q6,'Kopējie pieņēmumi'!$B$7:$AD$17,6)</f>
        <v>1331.9414999999999</v>
      </c>
      <c r="R7" s="519">
        <f>$B$7*HLOOKUP(R6,'Kopējie pieņēmumi'!$B$7:$AD$17,6)</f>
        <v>1360.8967499999999</v>
      </c>
      <c r="S7" s="519">
        <f>$B$7*HLOOKUP(S6,'Kopējie pieņēmumi'!$B$7:$AD$17,6)</f>
        <v>1389.8519999999999</v>
      </c>
      <c r="T7" s="519">
        <f>$B$7*HLOOKUP(T6,'Kopējie pieņēmumi'!$B$7:$AD$17,6)</f>
        <v>1418.8072499999998</v>
      </c>
      <c r="U7" s="519">
        <f>$B$7*HLOOKUP(U6,'Kopējie pieņēmumi'!$B$7:$AD$17,6)</f>
        <v>1447.7624999999998</v>
      </c>
      <c r="V7" s="519">
        <f>$B$7*HLOOKUP(V6,'Kopējie pieņēmumi'!$B$7:$AD$17,6)</f>
        <v>1476.71775</v>
      </c>
      <c r="W7" s="519">
        <f>$B$7*HLOOKUP(W6,'Kopējie pieņēmumi'!$B$7:$AD$17,6)</f>
        <v>1505.673</v>
      </c>
      <c r="X7" s="519">
        <f>$B$7*HLOOKUP(X6,'Kopējie pieņēmumi'!$B$7:$AD$17,6)</f>
        <v>1534.62825</v>
      </c>
      <c r="Y7" s="519">
        <f>$B$7*HLOOKUP(Y6,'Kopējie pieņēmumi'!$B$7:$AD$17,6)</f>
        <v>1563.5835</v>
      </c>
      <c r="Z7" s="519">
        <f>$B$7*HLOOKUP(Z6,'Kopējie pieņēmumi'!$B$7:$AD$17,6)</f>
        <v>1592.5387499999999</v>
      </c>
      <c r="AA7" s="519">
        <f>$B$7*HLOOKUP(AA6,'Kopējie pieņēmumi'!$B$7:$AD$17,6)</f>
        <v>1621.4939999999999</v>
      </c>
      <c r="AB7" s="519">
        <f>$B$7*HLOOKUP(AB6,'Kopējie pieņēmumi'!$B$7:$AD$17,6)</f>
        <v>1660.1009999999999</v>
      </c>
      <c r="AC7" s="519">
        <f>$B$7*HLOOKUP(AC6,'Kopējie pieņēmumi'!$B$7:$AD$17,6)</f>
        <v>1698.7079999999999</v>
      </c>
      <c r="AD7" s="519">
        <f>$B$7*HLOOKUP(AD6,'Kopējie pieņēmumi'!$B$7:$AD$17,6)</f>
        <v>1737.3150000000001</v>
      </c>
      <c r="AE7" s="519">
        <f>$B$7*HLOOKUP(AE6,'Kopējie pieņēmumi'!$B$7:$AD$17,6)</f>
        <v>1737.3150000000001</v>
      </c>
      <c r="AF7" s="519">
        <f>$B$7*HLOOKUP(AF6,'Kopējie pieņēmumi'!$B$7:$AD$17,6)</f>
        <v>1737.3150000000001</v>
      </c>
      <c r="AG7" s="519">
        <f>$B$7*HLOOKUP(AG6,'Kopējie pieņēmumi'!$B$7:$AD$17,6)</f>
        <v>1737.3150000000001</v>
      </c>
      <c r="AH7" s="519">
        <f>$B$7*HLOOKUP(AH6,'Kopējie pieņēmumi'!$B$7:$AD$17,6)</f>
        <v>1737.3150000000001</v>
      </c>
    </row>
    <row r="8" spans="1:34" ht="13.5" customHeight="1" x14ac:dyDescent="0.2">
      <c r="A8" s="518" t="s">
        <v>123</v>
      </c>
      <c r="B8" s="520">
        <f>'Datu ievade'!B81*'Datu ievade'!$B$205*30/1000</f>
        <v>4.9949604932095406</v>
      </c>
      <c r="C8" s="520">
        <f>'Datu ievade'!B95*'Datu ievade'!$B$205*30/1000</f>
        <v>4.9949604932095406</v>
      </c>
      <c r="D8" s="520">
        <f>'Datu ievade'!C95*'Datu ievade'!$B$205*30/1000</f>
        <v>4.9949604932095406</v>
      </c>
      <c r="E8" s="520">
        <f>'Datu ievade'!D95*'Datu ievade'!$B$205*30/1000</f>
        <v>4.9949604932095406</v>
      </c>
      <c r="F8" s="520">
        <f>'Datu ievade'!E95*'Datu ievade'!$B$205*30/1000</f>
        <v>4.9949604932095406</v>
      </c>
      <c r="G8" s="520">
        <f>'Datu ievade'!F95*'Datu ievade'!$B$205*30/1000</f>
        <v>4.9949604932095406</v>
      </c>
      <c r="H8" s="520">
        <f>'Datu ievade'!G95*'Datu ievade'!$B$205*30/1000</f>
        <v>4.9949604932095406</v>
      </c>
      <c r="I8" s="520">
        <f>'Datu ievade'!H95*'Datu ievade'!$B$205*30/1000</f>
        <v>4.9949604932095406</v>
      </c>
      <c r="J8" s="520">
        <f>I8</f>
        <v>4.9949604932095406</v>
      </c>
      <c r="K8" s="520">
        <f t="shared" ref="K8:AH8" si="1">J8</f>
        <v>4.9949604932095406</v>
      </c>
      <c r="L8" s="520">
        <f t="shared" si="1"/>
        <v>4.9949604932095406</v>
      </c>
      <c r="M8" s="520">
        <f t="shared" si="1"/>
        <v>4.9949604932095406</v>
      </c>
      <c r="N8" s="520">
        <f t="shared" si="1"/>
        <v>4.9949604932095406</v>
      </c>
      <c r="O8" s="520">
        <f t="shared" si="1"/>
        <v>4.9949604932095406</v>
      </c>
      <c r="P8" s="520">
        <f t="shared" si="1"/>
        <v>4.9949604932095406</v>
      </c>
      <c r="Q8" s="520">
        <f t="shared" si="1"/>
        <v>4.9949604932095406</v>
      </c>
      <c r="R8" s="520">
        <f t="shared" si="1"/>
        <v>4.9949604932095406</v>
      </c>
      <c r="S8" s="520">
        <f t="shared" si="1"/>
        <v>4.9949604932095406</v>
      </c>
      <c r="T8" s="520">
        <f t="shared" si="1"/>
        <v>4.9949604932095406</v>
      </c>
      <c r="U8" s="520">
        <f t="shared" si="1"/>
        <v>4.9949604932095406</v>
      </c>
      <c r="V8" s="520">
        <f t="shared" si="1"/>
        <v>4.9949604932095406</v>
      </c>
      <c r="W8" s="520">
        <f t="shared" si="1"/>
        <v>4.9949604932095406</v>
      </c>
      <c r="X8" s="520">
        <f t="shared" si="1"/>
        <v>4.9949604932095406</v>
      </c>
      <c r="Y8" s="520">
        <f t="shared" si="1"/>
        <v>4.9949604932095406</v>
      </c>
      <c r="Z8" s="520">
        <f t="shared" si="1"/>
        <v>4.9949604932095406</v>
      </c>
      <c r="AA8" s="520">
        <f t="shared" si="1"/>
        <v>4.9949604932095406</v>
      </c>
      <c r="AB8" s="520">
        <f t="shared" si="1"/>
        <v>4.9949604932095406</v>
      </c>
      <c r="AC8" s="520">
        <f t="shared" si="1"/>
        <v>4.9949604932095406</v>
      </c>
      <c r="AD8" s="520">
        <f t="shared" si="1"/>
        <v>4.9949604932095406</v>
      </c>
      <c r="AE8" s="520">
        <f t="shared" si="1"/>
        <v>4.9949604932095406</v>
      </c>
      <c r="AF8" s="520">
        <f t="shared" si="1"/>
        <v>4.9949604932095406</v>
      </c>
      <c r="AG8" s="520">
        <f t="shared" si="1"/>
        <v>4.9949604932095406</v>
      </c>
      <c r="AH8" s="520">
        <f t="shared" si="1"/>
        <v>4.9949604932095406</v>
      </c>
    </row>
    <row r="9" spans="1:34" ht="13.5" customHeight="1" x14ac:dyDescent="0.2">
      <c r="A9" s="518" t="s">
        <v>124</v>
      </c>
      <c r="B9" s="519">
        <f>'Saimnieciskas pamatdarbibas NP'!B129*1.21</f>
        <v>1.1737</v>
      </c>
      <c r="C9" s="519">
        <f>'Saimnieciskas pamatdarbibas NP'!C129*1.21</f>
        <v>1.1737</v>
      </c>
      <c r="D9" s="519">
        <f>'Saimnieciskas pamatdarbibas NP'!D129*1.21</f>
        <v>1.18943</v>
      </c>
      <c r="E9" s="519">
        <f>'Saimnieciskas pamatdarbibas NP'!E129*1.21</f>
        <v>1.2027399999999999</v>
      </c>
      <c r="F9" s="519">
        <f>'Saimnieciskas pamatdarbibas NP'!F129*1.21</f>
        <v>1.21726</v>
      </c>
      <c r="G9" s="519">
        <f>'Saimnieciskas pamatdarbibas NP'!G129*1.21</f>
        <v>1.2317799999999999</v>
      </c>
      <c r="H9" s="519">
        <f>'Saimnieciskas pamatdarbibas NP'!H129*1.21</f>
        <v>1.2487200000000001</v>
      </c>
      <c r="I9" s="519">
        <f>'Saimnieciskas pamatdarbibas NP'!I129*1.21</f>
        <v>1.2644499999999999</v>
      </c>
      <c r="J9" s="519">
        <f>'Saimnieciskas pamatdarbibas NP'!J129*1.21</f>
        <v>1.2813899999999998</v>
      </c>
      <c r="K9" s="519">
        <f>'Saimnieciskas pamatdarbibas NP'!K129*1.21</f>
        <v>1.29833</v>
      </c>
      <c r="L9" s="519">
        <f>'Saimnieciskas pamatdarbibas NP'!L129*1.21</f>
        <v>1.3201099999999999</v>
      </c>
      <c r="M9" s="519">
        <f>'Saimnieciskas pamatdarbibas NP'!M129*1.21</f>
        <v>1.3406800000000001</v>
      </c>
      <c r="N9" s="519">
        <f>'Saimnieciskas pamatdarbibas NP'!N129*1.21</f>
        <v>1.34189</v>
      </c>
      <c r="O9" s="519">
        <f>'Saimnieciskas pamatdarbibas NP'!O129*1.21</f>
        <v>1.3443099999999999</v>
      </c>
      <c r="P9" s="519">
        <f>'Saimnieciskas pamatdarbibas NP'!P129*1.21</f>
        <v>1.3685099999999999</v>
      </c>
      <c r="Q9" s="519">
        <f>'Saimnieciskas pamatdarbibas NP'!Q129*1.21</f>
        <v>1.3806099999999999</v>
      </c>
      <c r="R9" s="519">
        <f>'Saimnieciskas pamatdarbibas NP'!R129*1.21</f>
        <v>1.3648799999999999</v>
      </c>
      <c r="S9" s="519">
        <f>'Saimnieciskas pamatdarbibas NP'!S129*1.21</f>
        <v>1.4048099999999999</v>
      </c>
      <c r="T9" s="519">
        <f>'Saimnieciskas pamatdarbibas NP'!T129*1.21</f>
        <v>1.41449</v>
      </c>
      <c r="U9" s="519">
        <f>'Saimnieciskas pamatdarbibas NP'!U129*1.21</f>
        <v>1.43869</v>
      </c>
      <c r="V9" s="519">
        <f>'Saimnieciskas pamatdarbibas NP'!V129*1.21</f>
        <v>1.4641</v>
      </c>
      <c r="W9" s="519">
        <f>'Saimnieciskas pamatdarbibas NP'!W129*1.21</f>
        <v>1.4895100000000001</v>
      </c>
      <c r="X9" s="519">
        <f>'Saimnieciskas pamatdarbibas NP'!X129*1.21</f>
        <v>1.5137099999999999</v>
      </c>
      <c r="Y9" s="519">
        <f>'Saimnieciskas pamatdarbibas NP'!Y129*1.21</f>
        <v>1.53912</v>
      </c>
      <c r="Z9" s="519">
        <f>'Saimnieciskas pamatdarbibas NP'!Z129*1.21</f>
        <v>1.56332</v>
      </c>
      <c r="AA9" s="519">
        <f>'Saimnieciskas pamatdarbibas NP'!AA129*1.21</f>
        <v>1.58873</v>
      </c>
      <c r="AB9" s="519">
        <f>'Saimnieciskas pamatdarbibas NP'!AB129*1.21</f>
        <v>1.6177699999999999</v>
      </c>
      <c r="AC9" s="519">
        <f>'Saimnieciskas pamatdarbibas NP'!AC129*1.21</f>
        <v>1.64802</v>
      </c>
      <c r="AD9" s="519">
        <f>'Saimnieciskas pamatdarbibas NP'!AD129*1.21</f>
        <v>1.7557100000000001</v>
      </c>
      <c r="AE9" s="519">
        <f>'Saimnieciskas pamatdarbibas NP'!AE129*1.21</f>
        <v>1.78596</v>
      </c>
      <c r="AF9" s="519">
        <f>'Saimnieciskas pamatdarbibas NP'!AF129*1.21</f>
        <v>1.7871700000000001</v>
      </c>
      <c r="AG9" s="519">
        <f>'Saimnieciskas pamatdarbibas NP'!AG129*1.21</f>
        <v>1.8210499999999998</v>
      </c>
      <c r="AH9" s="519">
        <f>'Saimnieciskas pamatdarbibas NP'!AH129*1.21</f>
        <v>1.8549299999999997</v>
      </c>
    </row>
    <row r="10" spans="1:34" ht="13.5" customHeight="1" x14ac:dyDescent="0.2">
      <c r="A10" s="518" t="s">
        <v>125</v>
      </c>
      <c r="B10" s="520">
        <f>B8*B9</f>
        <v>5.8625851308800376</v>
      </c>
      <c r="C10" s="520">
        <f t="shared" ref="C10:AH10" si="2">C8*C9</f>
        <v>5.8625851308800376</v>
      </c>
      <c r="D10" s="520">
        <f t="shared" si="2"/>
        <v>5.9411558594382239</v>
      </c>
      <c r="E10" s="520">
        <f t="shared" si="2"/>
        <v>6.0076387836028422</v>
      </c>
      <c r="F10" s="520">
        <f t="shared" si="2"/>
        <v>6.0801656099642454</v>
      </c>
      <c r="G10" s="520">
        <f t="shared" si="2"/>
        <v>6.1526924363256477</v>
      </c>
      <c r="H10" s="520">
        <f t="shared" si="2"/>
        <v>6.2373070670806179</v>
      </c>
      <c r="I10" s="520">
        <f t="shared" si="2"/>
        <v>6.3158777956388032</v>
      </c>
      <c r="J10" s="520">
        <f t="shared" si="2"/>
        <v>6.4004924263937726</v>
      </c>
      <c r="K10" s="520">
        <f t="shared" si="2"/>
        <v>6.4851070571487428</v>
      </c>
      <c r="L10" s="520">
        <f t="shared" si="2"/>
        <v>6.5938972966908462</v>
      </c>
      <c r="M10" s="520">
        <f t="shared" si="2"/>
        <v>6.6966436340361675</v>
      </c>
      <c r="N10" s="520">
        <f t="shared" si="2"/>
        <v>6.7026875362329505</v>
      </c>
      <c r="O10" s="520">
        <f t="shared" si="2"/>
        <v>6.7147753406265167</v>
      </c>
      <c r="P10" s="520">
        <f t="shared" si="2"/>
        <v>6.8356533845621881</v>
      </c>
      <c r="Q10" s="520">
        <f t="shared" si="2"/>
        <v>6.8960924065300233</v>
      </c>
      <c r="R10" s="520">
        <f t="shared" si="2"/>
        <v>6.8175216779718371</v>
      </c>
      <c r="S10" s="520">
        <f t="shared" si="2"/>
        <v>7.0169704504656938</v>
      </c>
      <c r="T10" s="520">
        <f t="shared" si="2"/>
        <v>7.0653216680399629</v>
      </c>
      <c r="U10" s="520">
        <f t="shared" si="2"/>
        <v>7.1861997119756342</v>
      </c>
      <c r="V10" s="520">
        <f t="shared" si="2"/>
        <v>7.3131216581080878</v>
      </c>
      <c r="W10" s="520">
        <f t="shared" si="2"/>
        <v>7.4400436042405431</v>
      </c>
      <c r="X10" s="520">
        <f t="shared" si="2"/>
        <v>7.5609216481762136</v>
      </c>
      <c r="Y10" s="520">
        <f t="shared" si="2"/>
        <v>7.687843594308668</v>
      </c>
      <c r="Z10" s="520">
        <f t="shared" si="2"/>
        <v>7.8087216382443394</v>
      </c>
      <c r="AA10" s="520">
        <f t="shared" si="2"/>
        <v>7.935643584376793</v>
      </c>
      <c r="AB10" s="520">
        <f t="shared" si="2"/>
        <v>8.0806972370995975</v>
      </c>
      <c r="AC10" s="520">
        <f t="shared" si="2"/>
        <v>8.231794792019187</v>
      </c>
      <c r="AD10" s="520">
        <f t="shared" si="2"/>
        <v>8.7697020875329237</v>
      </c>
      <c r="AE10" s="520">
        <f t="shared" si="2"/>
        <v>8.9207996424525113</v>
      </c>
      <c r="AF10" s="520">
        <f t="shared" si="2"/>
        <v>8.9268435446492962</v>
      </c>
      <c r="AG10" s="520">
        <f t="shared" si="2"/>
        <v>9.0960728061592331</v>
      </c>
      <c r="AH10" s="520">
        <f t="shared" si="2"/>
        <v>9.2653020676691717</v>
      </c>
    </row>
    <row r="11" spans="1:34" ht="14.25" customHeight="1" x14ac:dyDescent="0.2">
      <c r="A11" s="518" t="s">
        <v>126</v>
      </c>
      <c r="B11" s="520">
        <f>'Datu ievade'!B87*'Datu ievade'!$B$205*30/1000</f>
        <v>4.4873591917847513</v>
      </c>
      <c r="C11" s="520">
        <f>'Datu ievade'!B109*'Datu ievade'!$B$205*30/1000</f>
        <v>4.4873591917847513</v>
      </c>
      <c r="D11" s="520">
        <f>'Datu ievade'!C109*'Datu ievade'!$B$205*30/1000</f>
        <v>4.4873591917847513</v>
      </c>
      <c r="E11" s="520">
        <f>'Datu ievade'!D109*'Datu ievade'!$B$205*30/1000</f>
        <v>4.4873591917847513</v>
      </c>
      <c r="F11" s="520">
        <f>'Datu ievade'!E109*'Datu ievade'!$B$205*30/1000</f>
        <v>4.4873591917847513</v>
      </c>
      <c r="G11" s="520">
        <f>'Datu ievade'!F109*'Datu ievade'!$B$205*30/1000</f>
        <v>4.4873591917847513</v>
      </c>
      <c r="H11" s="520">
        <f>'Datu ievade'!G109*'Datu ievade'!$B$205*30/1000</f>
        <v>4.4873591917847513</v>
      </c>
      <c r="I11" s="520">
        <f>'Datu ievade'!H109*'Datu ievade'!$B$205*30/1000</f>
        <v>4.4873591917847513</v>
      </c>
      <c r="J11" s="520">
        <f>I11</f>
        <v>4.4873591917847513</v>
      </c>
      <c r="K11" s="520">
        <f t="shared" ref="K11:AH11" si="3">J11</f>
        <v>4.4873591917847513</v>
      </c>
      <c r="L11" s="520">
        <f t="shared" si="3"/>
        <v>4.4873591917847513</v>
      </c>
      <c r="M11" s="520">
        <f t="shared" si="3"/>
        <v>4.4873591917847513</v>
      </c>
      <c r="N11" s="520">
        <f t="shared" si="3"/>
        <v>4.4873591917847513</v>
      </c>
      <c r="O11" s="520">
        <f t="shared" si="3"/>
        <v>4.4873591917847513</v>
      </c>
      <c r="P11" s="520">
        <f t="shared" si="3"/>
        <v>4.4873591917847513</v>
      </c>
      <c r="Q11" s="520">
        <f t="shared" si="3"/>
        <v>4.4873591917847513</v>
      </c>
      <c r="R11" s="520">
        <f t="shared" si="3"/>
        <v>4.4873591917847513</v>
      </c>
      <c r="S11" s="520">
        <f t="shared" si="3"/>
        <v>4.4873591917847513</v>
      </c>
      <c r="T11" s="520">
        <f t="shared" si="3"/>
        <v>4.4873591917847513</v>
      </c>
      <c r="U11" s="520">
        <f t="shared" si="3"/>
        <v>4.4873591917847513</v>
      </c>
      <c r="V11" s="520">
        <f t="shared" si="3"/>
        <v>4.4873591917847513</v>
      </c>
      <c r="W11" s="520">
        <f t="shared" si="3"/>
        <v>4.4873591917847513</v>
      </c>
      <c r="X11" s="520">
        <f t="shared" si="3"/>
        <v>4.4873591917847513</v>
      </c>
      <c r="Y11" s="520">
        <f t="shared" si="3"/>
        <v>4.4873591917847513</v>
      </c>
      <c r="Z11" s="520">
        <f t="shared" si="3"/>
        <v>4.4873591917847513</v>
      </c>
      <c r="AA11" s="520">
        <f t="shared" si="3"/>
        <v>4.4873591917847513</v>
      </c>
      <c r="AB11" s="520">
        <f t="shared" si="3"/>
        <v>4.4873591917847513</v>
      </c>
      <c r="AC11" s="520">
        <f t="shared" si="3"/>
        <v>4.4873591917847513</v>
      </c>
      <c r="AD11" s="520">
        <f t="shared" si="3"/>
        <v>4.4873591917847513</v>
      </c>
      <c r="AE11" s="520">
        <f t="shared" si="3"/>
        <v>4.4873591917847513</v>
      </c>
      <c r="AF11" s="520">
        <f t="shared" si="3"/>
        <v>4.4873591917847513</v>
      </c>
      <c r="AG11" s="520">
        <f t="shared" si="3"/>
        <v>4.4873591917847513</v>
      </c>
      <c r="AH11" s="520">
        <f t="shared" si="3"/>
        <v>4.4873591917847513</v>
      </c>
    </row>
    <row r="12" spans="1:34" ht="14.25" customHeight="1" x14ac:dyDescent="0.2">
      <c r="A12" s="518" t="s">
        <v>127</v>
      </c>
      <c r="B12" s="519">
        <f>'Saimnieciskas pamatdarbibas NP'!B148*1.21</f>
        <v>1.8149999999999999</v>
      </c>
      <c r="C12" s="519">
        <f>'Saimnieciskas pamatdarbibas NP'!C148*1.21</f>
        <v>1.8149999999999999</v>
      </c>
      <c r="D12" s="519">
        <f>'Saimnieciskas pamatdarbibas NP'!D148*1.21</f>
        <v>2.1053999999999999</v>
      </c>
      <c r="E12" s="519">
        <f>'Saimnieciskas pamatdarbibas NP'!E148*1.21</f>
        <v>2.16106</v>
      </c>
      <c r="F12" s="519">
        <f>'Saimnieciskas pamatdarbibas NP'!F148*1.21</f>
        <v>2.1586400000000001</v>
      </c>
      <c r="G12" s="519">
        <f>'Saimnieciskas pamatdarbibas NP'!G148*1.21</f>
        <v>2.1562199999999998</v>
      </c>
      <c r="H12" s="519">
        <f>'Saimnieciskas pamatdarbibas NP'!H148*1.21</f>
        <v>2.1816299999999997</v>
      </c>
      <c r="I12" s="519">
        <f>'Saimnieciskas pamatdarbibas NP'!I148*1.21</f>
        <v>2.20825</v>
      </c>
      <c r="J12" s="519">
        <f>'Saimnieciskas pamatdarbibas NP'!J148*1.21</f>
        <v>2.2469700000000001</v>
      </c>
      <c r="K12" s="519">
        <f>'Saimnieciskas pamatdarbibas NP'!K148*1.21</f>
        <v>2.27359</v>
      </c>
      <c r="L12" s="519">
        <f>'Saimnieciskas pamatdarbibas NP'!L148*1.21</f>
        <v>2.3074699999999999</v>
      </c>
      <c r="M12" s="519">
        <f>'Saimnieciskas pamatdarbibas NP'!M148*1.21</f>
        <v>2.3413499999999998</v>
      </c>
      <c r="N12" s="519">
        <f>'Saimnieciskas pamatdarbibas NP'!N148*1.21</f>
        <v>2.3728099999999999</v>
      </c>
      <c r="O12" s="519">
        <f>'Saimnieciskas pamatdarbibas NP'!O148*1.21</f>
        <v>2.3522399999999997</v>
      </c>
      <c r="P12" s="519">
        <f>'Saimnieciskas pamatdarbibas NP'!P148*1.21</f>
        <v>2.3909599999999998</v>
      </c>
      <c r="Q12" s="519">
        <f>'Saimnieciskas pamatdarbibas NP'!Q148*1.21</f>
        <v>2.4393599999999998</v>
      </c>
      <c r="R12" s="519">
        <f>'Saimnieciskas pamatdarbibas NP'!R148*1.21</f>
        <v>2.36313</v>
      </c>
      <c r="S12" s="519">
        <f>'Saimnieciskas pamatdarbibas NP'!S148*1.21</f>
        <v>2.33893</v>
      </c>
      <c r="T12" s="519">
        <f>'Saimnieciskas pamatdarbibas NP'!T148*1.21</f>
        <v>2.3812799999999998</v>
      </c>
      <c r="U12" s="519">
        <f>'Saimnieciskas pamatdarbibas NP'!U148*1.21</f>
        <v>2.4248400000000001</v>
      </c>
      <c r="V12" s="519">
        <f>'Saimnieciskas pamatdarbibas NP'!V148*1.21</f>
        <v>2.4950199999999998</v>
      </c>
      <c r="W12" s="519">
        <f>'Saimnieciskas pamatdarbibas NP'!W148*1.21</f>
        <v>2.5385799999999996</v>
      </c>
      <c r="X12" s="519">
        <f>'Saimnieciskas pamatdarbibas NP'!X148*1.21</f>
        <v>2.5918199999999998</v>
      </c>
      <c r="Y12" s="519">
        <f>'Saimnieciskas pamatdarbibas NP'!Y148*1.21</f>
        <v>2.6353800000000001</v>
      </c>
      <c r="Z12" s="519">
        <f>'Saimnieciskas pamatdarbibas NP'!Z148*1.21</f>
        <v>2.6789399999999999</v>
      </c>
      <c r="AA12" s="519">
        <f>'Saimnieciskas pamatdarbibas NP'!AA148*1.21</f>
        <v>2.7225000000000001</v>
      </c>
      <c r="AB12" s="519">
        <f>'Saimnieciskas pamatdarbibas NP'!AB148*1.21</f>
        <v>2.7745299999999999</v>
      </c>
      <c r="AC12" s="519">
        <f>'Saimnieciskas pamatdarbibas NP'!AC148*1.21</f>
        <v>2.9523999999999999</v>
      </c>
      <c r="AD12" s="519">
        <f>'Saimnieciskas pamatdarbibas NP'!AD148*1.21</f>
        <v>3.2633700000000001</v>
      </c>
      <c r="AE12" s="519">
        <f>'Saimnieciskas pamatdarbibas NP'!AE148*1.21</f>
        <v>3.32145</v>
      </c>
      <c r="AF12" s="519">
        <f>'Saimnieciskas pamatdarbibas NP'!AF148*1.21</f>
        <v>3.3892100000000003</v>
      </c>
      <c r="AG12" s="519">
        <f>'Saimnieciskas pamatdarbibas NP'!AG148*1.21</f>
        <v>3.4557599999999997</v>
      </c>
      <c r="AH12" s="519">
        <f>'Saimnieciskas pamatdarbibas NP'!AH148*1.21</f>
        <v>3.5223100000000001</v>
      </c>
    </row>
    <row r="13" spans="1:34" ht="14.25" customHeight="1" x14ac:dyDescent="0.2">
      <c r="A13" s="518" t="s">
        <v>128</v>
      </c>
      <c r="B13" s="520">
        <f>B11*B12</f>
        <v>8.1445569330893228</v>
      </c>
      <c r="C13" s="520">
        <f t="shared" ref="C13:AH13" si="4">C11*C12</f>
        <v>8.1445569330893228</v>
      </c>
      <c r="D13" s="520">
        <f t="shared" si="4"/>
        <v>9.4476860423836158</v>
      </c>
      <c r="E13" s="520">
        <f t="shared" si="4"/>
        <v>9.6974524549983538</v>
      </c>
      <c r="F13" s="520">
        <f t="shared" si="4"/>
        <v>9.6865930457542362</v>
      </c>
      <c r="G13" s="520">
        <f t="shared" si="4"/>
        <v>9.675733636510115</v>
      </c>
      <c r="H13" s="520">
        <f t="shared" si="4"/>
        <v>9.7897574335733655</v>
      </c>
      <c r="I13" s="520">
        <f t="shared" si="4"/>
        <v>9.9092109352586775</v>
      </c>
      <c r="J13" s="520">
        <f t="shared" si="4"/>
        <v>10.082961483164583</v>
      </c>
      <c r="K13" s="520">
        <f t="shared" si="4"/>
        <v>10.202414984849893</v>
      </c>
      <c r="L13" s="520">
        <f t="shared" si="4"/>
        <v>10.35444671426756</v>
      </c>
      <c r="M13" s="520">
        <f t="shared" si="4"/>
        <v>10.506478443685227</v>
      </c>
      <c r="N13" s="520">
        <f t="shared" si="4"/>
        <v>10.647650763858776</v>
      </c>
      <c r="O13" s="520">
        <f t="shared" si="4"/>
        <v>10.555345785283762</v>
      </c>
      <c r="P13" s="520">
        <f t="shared" si="4"/>
        <v>10.729096333189668</v>
      </c>
      <c r="Q13" s="520">
        <f t="shared" si="4"/>
        <v>10.94628451807205</v>
      </c>
      <c r="R13" s="520">
        <f t="shared" si="4"/>
        <v>10.6042131268823</v>
      </c>
      <c r="S13" s="520">
        <f t="shared" si="4"/>
        <v>10.495619034441107</v>
      </c>
      <c r="T13" s="520">
        <f t="shared" si="4"/>
        <v>10.685658696213192</v>
      </c>
      <c r="U13" s="520">
        <f t="shared" si="4"/>
        <v>10.881128062607337</v>
      </c>
      <c r="V13" s="520">
        <f t="shared" si="4"/>
        <v>11.196050930686789</v>
      </c>
      <c r="W13" s="520">
        <f t="shared" si="4"/>
        <v>11.391520297080932</v>
      </c>
      <c r="X13" s="520">
        <f t="shared" si="4"/>
        <v>11.630427300451553</v>
      </c>
      <c r="Y13" s="520">
        <f t="shared" si="4"/>
        <v>11.825896666845699</v>
      </c>
      <c r="Z13" s="520">
        <f t="shared" si="4"/>
        <v>12.021366033239842</v>
      </c>
      <c r="AA13" s="520">
        <f t="shared" si="4"/>
        <v>12.216835399633986</v>
      </c>
      <c r="AB13" s="520">
        <f t="shared" si="4"/>
        <v>12.450312698382545</v>
      </c>
      <c r="AC13" s="520">
        <f t="shared" si="4"/>
        <v>13.248479277825298</v>
      </c>
      <c r="AD13" s="520">
        <f t="shared" si="4"/>
        <v>14.643913365694605</v>
      </c>
      <c r="AE13" s="520">
        <f t="shared" si="4"/>
        <v>14.904539187553462</v>
      </c>
      <c r="AF13" s="520">
        <f t="shared" si="4"/>
        <v>15.208602646388798</v>
      </c>
      <c r="AG13" s="520">
        <f t="shared" si="4"/>
        <v>15.507236400602071</v>
      </c>
      <c r="AH13" s="520">
        <f t="shared" si="4"/>
        <v>15.805870154815347</v>
      </c>
    </row>
    <row r="14" spans="1:34" ht="14.25" customHeight="1" x14ac:dyDescent="0.2">
      <c r="A14" s="518" t="s">
        <v>129</v>
      </c>
      <c r="B14" s="519">
        <f t="shared" ref="B14:AG14" si="5">SUM(B10,B13)</f>
        <v>14.007142063969361</v>
      </c>
      <c r="C14" s="519">
        <f t="shared" si="5"/>
        <v>14.007142063969361</v>
      </c>
      <c r="D14" s="519">
        <f t="shared" si="5"/>
        <v>15.38884190182184</v>
      </c>
      <c r="E14" s="519">
        <f t="shared" si="5"/>
        <v>15.705091238601195</v>
      </c>
      <c r="F14" s="519">
        <f t="shared" si="5"/>
        <v>15.766758655718482</v>
      </c>
      <c r="G14" s="519">
        <f t="shared" si="5"/>
        <v>15.828426072835763</v>
      </c>
      <c r="H14" s="519">
        <f t="shared" si="5"/>
        <v>16.027064500653985</v>
      </c>
      <c r="I14" s="519">
        <f t="shared" si="5"/>
        <v>16.225088730897482</v>
      </c>
      <c r="J14" s="519">
        <f t="shared" si="5"/>
        <v>16.483453909558357</v>
      </c>
      <c r="K14" s="519">
        <f t="shared" si="5"/>
        <v>16.687522041998637</v>
      </c>
      <c r="L14" s="519">
        <f t="shared" si="5"/>
        <v>16.948344010958408</v>
      </c>
      <c r="M14" s="519">
        <f t="shared" si="5"/>
        <v>17.203122077721396</v>
      </c>
      <c r="N14" s="519">
        <f t="shared" si="5"/>
        <v>17.350338300091728</v>
      </c>
      <c r="O14" s="519">
        <f t="shared" si="5"/>
        <v>17.270121125910279</v>
      </c>
      <c r="P14" s="519">
        <f t="shared" si="5"/>
        <v>17.564749717751855</v>
      </c>
      <c r="Q14" s="519">
        <f t="shared" si="5"/>
        <v>17.842376924602071</v>
      </c>
      <c r="R14" s="519">
        <f t="shared" si="5"/>
        <v>17.421734804854136</v>
      </c>
      <c r="S14" s="519">
        <f t="shared" si="5"/>
        <v>17.512589484906801</v>
      </c>
      <c r="T14" s="519">
        <f t="shared" si="5"/>
        <v>17.750980364253156</v>
      </c>
      <c r="U14" s="519">
        <f t="shared" si="5"/>
        <v>18.067327774582971</v>
      </c>
      <c r="V14" s="519">
        <f t="shared" si="5"/>
        <v>18.509172588794875</v>
      </c>
      <c r="W14" s="519">
        <f t="shared" si="5"/>
        <v>18.831563901321474</v>
      </c>
      <c r="X14" s="519">
        <f t="shared" si="5"/>
        <v>19.191348948627766</v>
      </c>
      <c r="Y14" s="519">
        <f t="shared" si="5"/>
        <v>19.513740261154368</v>
      </c>
      <c r="Z14" s="519">
        <f t="shared" si="5"/>
        <v>19.830087671484179</v>
      </c>
      <c r="AA14" s="519">
        <f t="shared" si="5"/>
        <v>20.152478984010777</v>
      </c>
      <c r="AB14" s="519">
        <f t="shared" si="5"/>
        <v>20.531009935482142</v>
      </c>
      <c r="AC14" s="519">
        <f t="shared" si="5"/>
        <v>21.480274069844484</v>
      </c>
      <c r="AD14" s="519">
        <f t="shared" si="5"/>
        <v>23.413615453227528</v>
      </c>
      <c r="AE14" s="519">
        <f t="shared" si="5"/>
        <v>23.825338830005975</v>
      </c>
      <c r="AF14" s="519">
        <f t="shared" si="5"/>
        <v>24.135446191038092</v>
      </c>
      <c r="AG14" s="519">
        <f t="shared" si="5"/>
        <v>24.603309206761303</v>
      </c>
      <c r="AH14" s="519">
        <f>SUM(AH10,AH13)</f>
        <v>25.07117222248452</v>
      </c>
    </row>
    <row r="15" spans="1:34" ht="14.25" customHeight="1" x14ac:dyDescent="0.2">
      <c r="A15" s="518" t="s">
        <v>130</v>
      </c>
      <c r="B15" s="521">
        <f>IF(B7=0,0,B14/B7)</f>
        <v>1.4512541315273771E-2</v>
      </c>
      <c r="C15" s="521">
        <f t="shared" ref="C15:AG15" si="6">IF(C7=0,0,C14/C7)</f>
        <v>1.4089845937159002E-2</v>
      </c>
      <c r="D15" s="521">
        <f t="shared" si="6"/>
        <v>1.5041599066570526E-2</v>
      </c>
      <c r="E15" s="521">
        <f t="shared" si="6"/>
        <v>1.5066439916961128E-2</v>
      </c>
      <c r="F15" s="521">
        <f t="shared" si="6"/>
        <v>1.4850588711626464E-2</v>
      </c>
      <c r="G15" s="521">
        <f t="shared" si="6"/>
        <v>1.4642446477910891E-2</v>
      </c>
      <c r="H15" s="521">
        <f t="shared" si="6"/>
        <v>1.4566092687176525E-2</v>
      </c>
      <c r="I15" s="521">
        <f t="shared" si="6"/>
        <v>1.4491823200632263E-2</v>
      </c>
      <c r="J15" s="521">
        <f t="shared" si="6"/>
        <v>1.4473052800698178E-2</v>
      </c>
      <c r="K15" s="521">
        <f t="shared" si="6"/>
        <v>1.4408027941391146E-2</v>
      </c>
      <c r="L15" s="521">
        <f t="shared" si="6"/>
        <v>1.4276314111248125E-2</v>
      </c>
      <c r="M15" s="521">
        <f t="shared" si="6"/>
        <v>1.4145902546434663E-2</v>
      </c>
      <c r="N15" s="521">
        <f t="shared" si="6"/>
        <v>1.3935166836308336E-2</v>
      </c>
      <c r="O15" s="521">
        <f t="shared" si="6"/>
        <v>1.3555495216294015E-2</v>
      </c>
      <c r="P15" s="521">
        <f t="shared" si="6"/>
        <v>1.3480379948561895E-2</v>
      </c>
      <c r="Q15" s="521">
        <f t="shared" si="6"/>
        <v>1.3395766198892423E-2</v>
      </c>
      <c r="R15" s="521">
        <f t="shared" si="6"/>
        <v>1.2801658027954096E-2</v>
      </c>
      <c r="S15" s="521">
        <f t="shared" si="6"/>
        <v>1.2600326858476157E-2</v>
      </c>
      <c r="T15" s="521">
        <f t="shared" si="6"/>
        <v>1.2511199364292196E-2</v>
      </c>
      <c r="U15" s="521">
        <f t="shared" si="6"/>
        <v>1.2479483184971964E-2</v>
      </c>
      <c r="V15" s="521">
        <f t="shared" si="6"/>
        <v>1.2533994792704886E-2</v>
      </c>
      <c r="W15" s="521">
        <f t="shared" si="6"/>
        <v>1.2507074179666816E-2</v>
      </c>
      <c r="X15" s="521">
        <f t="shared" si="6"/>
        <v>1.2505536079260738E-2</v>
      </c>
      <c r="Y15" s="521">
        <f t="shared" si="6"/>
        <v>1.248013953917675E-2</v>
      </c>
      <c r="Z15" s="521">
        <f t="shared" si="6"/>
        <v>1.2451871372978636E-2</v>
      </c>
      <c r="AA15" s="521">
        <f t="shared" si="6"/>
        <v>1.2428340150509825E-2</v>
      </c>
      <c r="AB15" s="521">
        <f t="shared" si="6"/>
        <v>1.2367325804563786E-2</v>
      </c>
      <c r="AC15" s="521">
        <f t="shared" si="6"/>
        <v>1.2645065585047275E-2</v>
      </c>
      <c r="AD15" s="521">
        <f t="shared" si="6"/>
        <v>1.3476897081546828E-2</v>
      </c>
      <c r="AE15" s="521">
        <f t="shared" si="6"/>
        <v>1.3713885409385158E-2</v>
      </c>
      <c r="AF15" s="521">
        <f t="shared" si="6"/>
        <v>1.3892383471643364E-2</v>
      </c>
      <c r="AG15" s="521">
        <f t="shared" si="6"/>
        <v>1.4161685823676939E-2</v>
      </c>
      <c r="AH15" s="521">
        <f>IF(AH7=0,0,AH14/AH7)</f>
        <v>1.4430988175710518E-2</v>
      </c>
    </row>
    <row r="16" spans="1:34" x14ac:dyDescent="0.2">
      <c r="B16" s="314"/>
      <c r="C16" s="314"/>
      <c r="D16" s="314"/>
      <c r="E16" s="314"/>
      <c r="F16" s="314"/>
      <c r="G16" s="314"/>
      <c r="H16" s="314"/>
      <c r="I16" s="314"/>
      <c r="J16" s="314"/>
      <c r="K16" s="314"/>
      <c r="L16" s="314"/>
      <c r="M16" s="314"/>
      <c r="N16" s="314"/>
      <c r="O16" s="314"/>
      <c r="P16" s="314"/>
      <c r="Q16" s="314"/>
      <c r="R16" s="314"/>
      <c r="S16" s="314"/>
      <c r="T16" s="314"/>
      <c r="U16" s="314"/>
    </row>
    <row r="17" spans="1:34" ht="15" x14ac:dyDescent="0.2">
      <c r="A17" s="493" t="s">
        <v>131</v>
      </c>
      <c r="B17" s="314"/>
      <c r="C17" s="314"/>
      <c r="D17" s="314"/>
      <c r="E17" s="314"/>
      <c r="F17" s="314"/>
      <c r="G17" s="314"/>
      <c r="H17" s="314"/>
      <c r="I17" s="314"/>
      <c r="J17" s="314"/>
      <c r="K17" s="314"/>
      <c r="L17" s="314"/>
      <c r="M17" s="314"/>
      <c r="N17" s="314"/>
      <c r="O17" s="314"/>
      <c r="P17" s="314"/>
      <c r="Q17" s="314"/>
      <c r="R17" s="314"/>
      <c r="S17" s="314"/>
      <c r="T17" s="314"/>
      <c r="U17" s="314"/>
    </row>
    <row r="18" spans="1:34" hidden="1" outlineLevel="1" x14ac:dyDescent="0.2">
      <c r="A18" s="312" t="str">
        <f>"Pieļaujamie kopējie mājsaimn. izdevumi "&amp;'Datu ievade'!B213*100&amp;"% robežās"</f>
        <v>Pieļaujamie kopējie mājsaimn. izdevumi 4% robežās</v>
      </c>
      <c r="B18" s="314">
        <f>B7*'Datu ievade'!$B$213</f>
        <v>38.606999999999999</v>
      </c>
      <c r="C18" s="314">
        <f>C7*'Datu ievade'!$B$213</f>
        <v>39.765209999999996</v>
      </c>
      <c r="D18" s="314">
        <f>D7*'Datu ievade'!$B$213</f>
        <v>40.92342</v>
      </c>
      <c r="E18" s="314">
        <f>E7*'Datu ievade'!$B$213</f>
        <v>41.695560000000008</v>
      </c>
      <c r="F18" s="314">
        <f>F7*'Datu ievade'!$B$213</f>
        <v>42.467700000000008</v>
      </c>
      <c r="G18" s="314">
        <f>G7*'Datu ievade'!$B$213</f>
        <v>43.239840000000008</v>
      </c>
      <c r="H18" s="314">
        <f>H7*'Datu ievade'!$B$213</f>
        <v>44.011979999999994</v>
      </c>
      <c r="I18" s="314">
        <f>I7*'Datu ievade'!$B$213</f>
        <v>44.784119999999994</v>
      </c>
      <c r="J18" s="314">
        <f>J7*'Datu ievade'!$B$213</f>
        <v>45.556259999999995</v>
      </c>
      <c r="K18" s="314">
        <f>K7*'Datu ievade'!$B$213</f>
        <v>46.328399999999995</v>
      </c>
      <c r="L18" s="314">
        <f>L7*'Datu ievade'!$B$213</f>
        <v>47.486609999999999</v>
      </c>
      <c r="M18" s="314">
        <f>M7*'Datu ievade'!$B$213</f>
        <v>48.644820000000003</v>
      </c>
      <c r="N18" s="314">
        <f>N7*'Datu ievade'!$B$213</f>
        <v>49.80303</v>
      </c>
      <c r="O18" s="314">
        <f>O7*'Datu ievade'!$B$213</f>
        <v>50.961239999999997</v>
      </c>
      <c r="P18" s="314">
        <f>P7*'Datu ievade'!$B$213</f>
        <v>52.119450000000001</v>
      </c>
      <c r="Q18" s="314">
        <f>Q7*'Datu ievade'!$B$213</f>
        <v>53.277659999999997</v>
      </c>
      <c r="R18" s="314">
        <f>R7*'Datu ievade'!$B$213</f>
        <v>54.435869999999994</v>
      </c>
      <c r="S18" s="314">
        <f>S7*'Datu ievade'!$B$213</f>
        <v>55.594079999999998</v>
      </c>
      <c r="T18" s="314">
        <f>T7*'Datu ievade'!$B$213</f>
        <v>56.752289999999995</v>
      </c>
      <c r="U18" s="314">
        <f>U7*'Datu ievade'!$B$213</f>
        <v>57.910499999999992</v>
      </c>
      <c r="V18" s="314">
        <f>V7*'Datu ievade'!$B$213</f>
        <v>59.068710000000003</v>
      </c>
      <c r="W18" s="314">
        <f>W7*'Datu ievade'!$B$213</f>
        <v>60.22692</v>
      </c>
      <c r="X18" s="314">
        <f>X7*'Datu ievade'!$B$213</f>
        <v>61.385130000000004</v>
      </c>
      <c r="Y18" s="314">
        <f>Y7*'Datu ievade'!$B$213</f>
        <v>62.543340000000001</v>
      </c>
      <c r="Z18" s="314">
        <f>Z7*'Datu ievade'!$B$213</f>
        <v>63.701549999999997</v>
      </c>
      <c r="AA18" s="314">
        <f>AA7*'Datu ievade'!$B$213</f>
        <v>64.859759999999994</v>
      </c>
      <c r="AB18" s="314">
        <f>AB7*'Datu ievade'!$B$213</f>
        <v>66.404039999999995</v>
      </c>
      <c r="AC18" s="314">
        <f>AC7*'Datu ievade'!$B$213</f>
        <v>67.948319999999995</v>
      </c>
      <c r="AD18" s="314">
        <f>AD7*'Datu ievade'!$B$213</f>
        <v>69.49260000000001</v>
      </c>
      <c r="AE18" s="314">
        <f>AE7*'Datu ievade'!$B$213</f>
        <v>69.49260000000001</v>
      </c>
      <c r="AF18" s="314">
        <f>AF7*'Datu ievade'!$B$213</f>
        <v>69.49260000000001</v>
      </c>
      <c r="AG18" s="314">
        <f>AG7*'Datu ievade'!$B$213</f>
        <v>69.49260000000001</v>
      </c>
      <c r="AH18" s="314">
        <f>AH7*'Datu ievade'!$B$213</f>
        <v>69.49260000000001</v>
      </c>
    </row>
    <row r="19" spans="1:34" hidden="1" outlineLevel="1" x14ac:dyDescent="0.2">
      <c r="B19" s="314"/>
      <c r="C19" s="314"/>
      <c r="D19" s="314"/>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row>
    <row r="20" spans="1:34" hidden="1" outlineLevel="1" x14ac:dyDescent="0.2">
      <c r="A20" s="312" t="s">
        <v>132</v>
      </c>
      <c r="B20" s="314">
        <f>B10/B14</f>
        <v>0.41854256236612275</v>
      </c>
      <c r="C20" s="314">
        <f>C10/C14</f>
        <v>0.41854256236612275</v>
      </c>
      <c r="D20" s="314">
        <f>D10/D14</f>
        <v>0.38606906857200657</v>
      </c>
      <c r="E20" s="314">
        <f t="shared" ref="E20:AH20" si="7">E10/E14</f>
        <v>0.38252810457011549</v>
      </c>
      <c r="F20" s="314">
        <f t="shared" si="7"/>
        <v>0.38563193251892747</v>
      </c>
      <c r="G20" s="314">
        <f t="shared" si="7"/>
        <v>0.38871157549168461</v>
      </c>
      <c r="H20" s="314">
        <f t="shared" si="7"/>
        <v>0.38917339272117513</v>
      </c>
      <c r="I20" s="314">
        <f t="shared" si="7"/>
        <v>0.38926614827143963</v>
      </c>
      <c r="J20" s="314">
        <f t="shared" si="7"/>
        <v>0.38829801457340696</v>
      </c>
      <c r="K20" s="314">
        <f t="shared" si="7"/>
        <v>0.38862013430317738</v>
      </c>
      <c r="L20" s="314">
        <f t="shared" si="7"/>
        <v>0.38905849989989488</v>
      </c>
      <c r="M20" s="314">
        <f t="shared" si="7"/>
        <v>0.38926908754013551</v>
      </c>
      <c r="N20" s="314">
        <f t="shared" si="7"/>
        <v>0.38631451561941677</v>
      </c>
      <c r="O20" s="314">
        <f t="shared" si="7"/>
        <v>0.38880881562274461</v>
      </c>
      <c r="P20" s="314">
        <f t="shared" si="7"/>
        <v>0.3891688463772256</v>
      </c>
      <c r="Q20" s="314">
        <f t="shared" si="7"/>
        <v>0.38650076924567733</v>
      </c>
      <c r="R20" s="314">
        <f t="shared" si="7"/>
        <v>0.39132277895036627</v>
      </c>
      <c r="S20" s="314">
        <f t="shared" si="7"/>
        <v>0.40068149010820242</v>
      </c>
      <c r="T20" s="314">
        <f t="shared" si="7"/>
        <v>0.39802430756264456</v>
      </c>
      <c r="U20" s="314">
        <f t="shared" si="7"/>
        <v>0.39774557707892727</v>
      </c>
      <c r="V20" s="314">
        <f t="shared" si="7"/>
        <v>0.39510797271053172</v>
      </c>
      <c r="W20" s="314">
        <f t="shared" si="7"/>
        <v>0.39508368201530253</v>
      </c>
      <c r="X20" s="314">
        <f t="shared" si="7"/>
        <v>0.39397551826167176</v>
      </c>
      <c r="Y20" s="314">
        <f t="shared" si="7"/>
        <v>0.39397078629834548</v>
      </c>
      <c r="Z20" s="314">
        <f t="shared" si="7"/>
        <v>0.39378149847886662</v>
      </c>
      <c r="AA20" s="314">
        <f t="shared" si="7"/>
        <v>0.39378002034752296</v>
      </c>
      <c r="AB20" s="314">
        <f t="shared" si="7"/>
        <v>0.39358498498090727</v>
      </c>
      <c r="AC20" s="314">
        <f t="shared" si="7"/>
        <v>0.38322578032538041</v>
      </c>
      <c r="AD20" s="314">
        <f t="shared" si="7"/>
        <v>0.37455565566333904</v>
      </c>
      <c r="AE20" s="314">
        <f t="shared" si="7"/>
        <v>0.37442488042258304</v>
      </c>
      <c r="AF20" s="314">
        <f t="shared" si="7"/>
        <v>0.36986445056748057</v>
      </c>
      <c r="AG20" s="314">
        <f t="shared" si="7"/>
        <v>0.3697093236408831</v>
      </c>
      <c r="AH20" s="314">
        <f t="shared" si="7"/>
        <v>0.3695599864835914</v>
      </c>
    </row>
    <row r="21" spans="1:34" hidden="1" outlineLevel="1" x14ac:dyDescent="0.2">
      <c r="A21" s="312" t="s">
        <v>133</v>
      </c>
      <c r="B21" s="314">
        <f>B13/B14</f>
        <v>0.58145743763387725</v>
      </c>
      <c r="C21" s="314">
        <f>C13/C14</f>
        <v>0.58145743763387725</v>
      </c>
      <c r="D21" s="314">
        <f>D13/D14</f>
        <v>0.61393093142799338</v>
      </c>
      <c r="E21" s="314">
        <f t="shared" ref="E21:AH21" si="8">E13/E14</f>
        <v>0.61747189542988457</v>
      </c>
      <c r="F21" s="314">
        <f t="shared" si="8"/>
        <v>0.61436806748107253</v>
      </c>
      <c r="G21" s="314">
        <f t="shared" si="8"/>
        <v>0.61128842450831533</v>
      </c>
      <c r="H21" s="314">
        <f t="shared" si="8"/>
        <v>0.61082660727882476</v>
      </c>
      <c r="I21" s="314">
        <f t="shared" si="8"/>
        <v>0.61073385172856032</v>
      </c>
      <c r="J21" s="314">
        <f t="shared" si="8"/>
        <v>0.61170198542659304</v>
      </c>
      <c r="K21" s="314">
        <f t="shared" si="8"/>
        <v>0.61137986569682257</v>
      </c>
      <c r="L21" s="314">
        <f t="shared" si="8"/>
        <v>0.61094150010010495</v>
      </c>
      <c r="M21" s="314">
        <f t="shared" si="8"/>
        <v>0.61073091245986444</v>
      </c>
      <c r="N21" s="314">
        <f t="shared" si="8"/>
        <v>0.61368548438058312</v>
      </c>
      <c r="O21" s="314">
        <f t="shared" si="8"/>
        <v>0.61119118437725539</v>
      </c>
      <c r="P21" s="314">
        <f t="shared" si="8"/>
        <v>0.61083115362277451</v>
      </c>
      <c r="Q21" s="314">
        <f t="shared" si="8"/>
        <v>0.61349923075432278</v>
      </c>
      <c r="R21" s="314">
        <f t="shared" si="8"/>
        <v>0.60867722104963384</v>
      </c>
      <c r="S21" s="314">
        <f t="shared" si="8"/>
        <v>0.59931850989179758</v>
      </c>
      <c r="T21" s="314">
        <f t="shared" si="8"/>
        <v>0.60197569243735538</v>
      </c>
      <c r="U21" s="314">
        <f t="shared" si="8"/>
        <v>0.60225442292107279</v>
      </c>
      <c r="V21" s="314">
        <f t="shared" si="8"/>
        <v>0.60489202728946834</v>
      </c>
      <c r="W21" s="314">
        <f t="shared" si="8"/>
        <v>0.60491631798469758</v>
      </c>
      <c r="X21" s="314">
        <f t="shared" si="8"/>
        <v>0.60602448173832824</v>
      </c>
      <c r="Y21" s="314">
        <f t="shared" si="8"/>
        <v>0.60602921370165441</v>
      </c>
      <c r="Z21" s="314">
        <f t="shared" si="8"/>
        <v>0.60621850152113343</v>
      </c>
      <c r="AA21" s="314">
        <f t="shared" si="8"/>
        <v>0.60621997965247709</v>
      </c>
      <c r="AB21" s="314">
        <f t="shared" si="8"/>
        <v>0.60641501501909267</v>
      </c>
      <c r="AC21" s="314">
        <f t="shared" si="8"/>
        <v>0.61677421967461965</v>
      </c>
      <c r="AD21" s="314">
        <f t="shared" si="8"/>
        <v>0.62544434433666096</v>
      </c>
      <c r="AE21" s="314">
        <f t="shared" si="8"/>
        <v>0.62557511957741696</v>
      </c>
      <c r="AF21" s="314">
        <f t="shared" si="8"/>
        <v>0.63013554943251948</v>
      </c>
      <c r="AG21" s="314">
        <f t="shared" si="8"/>
        <v>0.63029067635911695</v>
      </c>
      <c r="AH21" s="314">
        <f t="shared" si="8"/>
        <v>0.63044001351640855</v>
      </c>
    </row>
    <row r="22" spans="1:34" hidden="1" outlineLevel="1" x14ac:dyDescent="0.2">
      <c r="A22" s="312" t="s">
        <v>149</v>
      </c>
      <c r="B22" s="314">
        <f>B18*B20</f>
        <v>16.158672705268902</v>
      </c>
      <c r="C22" s="314">
        <f>C18*C20</f>
        <v>16.643432886426968</v>
      </c>
      <c r="D22" s="314">
        <f>D18*D20</f>
        <v>15.799266642181026</v>
      </c>
      <c r="E22" s="314">
        <f t="shared" ref="E22:AH22" si="9">E18*E20</f>
        <v>15.949723535789527</v>
      </c>
      <c r="F22" s="314">
        <f t="shared" si="9"/>
        <v>16.376901220634061</v>
      </c>
      <c r="G22" s="314">
        <f t="shared" si="9"/>
        <v>16.807826330408368</v>
      </c>
      <c r="H22" s="314">
        <f t="shared" si="9"/>
        <v>17.128291576976501</v>
      </c>
      <c r="I22" s="314">
        <f t="shared" si="9"/>
        <v>17.432941896125943</v>
      </c>
      <c r="J22" s="314">
        <f t="shared" si="9"/>
        <v>17.689405309389915</v>
      </c>
      <c r="K22" s="314">
        <f t="shared" si="9"/>
        <v>18.00414903005132</v>
      </c>
      <c r="L22" s="314">
        <f t="shared" si="9"/>
        <v>18.475069251931348</v>
      </c>
      <c r="M22" s="314">
        <f t="shared" si="9"/>
        <v>18.935924694954135</v>
      </c>
      <c r="N22" s="314">
        <f t="shared" si="9"/>
        <v>19.239633410829281</v>
      </c>
      <c r="O22" s="314">
        <f t="shared" si="9"/>
        <v>19.814179367066437</v>
      </c>
      <c r="P22" s="314">
        <f t="shared" si="9"/>
        <v>20.28326623031549</v>
      </c>
      <c r="Q22" s="314">
        <f t="shared" si="9"/>
        <v>20.591856573609654</v>
      </c>
      <c r="R22" s="314">
        <f t="shared" si="9"/>
        <v>21.301995922980872</v>
      </c>
      <c r="S22" s="314">
        <f t="shared" si="9"/>
        <v>22.275518815594612</v>
      </c>
      <c r="T22" s="314">
        <f t="shared" si="9"/>
        <v>22.588790929844397</v>
      </c>
      <c r="U22" s="314">
        <f t="shared" si="9"/>
        <v>23.033645241429216</v>
      </c>
      <c r="V22" s="314">
        <f t="shared" si="9"/>
        <v>23.338518258726314</v>
      </c>
      <c r="W22" s="314">
        <f t="shared" si="9"/>
        <v>23.794673310041063</v>
      </c>
      <c r="X22" s="314">
        <f t="shared" si="9"/>
        <v>24.184238405310097</v>
      </c>
      <c r="Y22" s="314">
        <f t="shared" si="9"/>
        <v>24.640248837524762</v>
      </c>
      <c r="Z22" s="314">
        <f t="shared" si="9"/>
        <v>25.084491814426446</v>
      </c>
      <c r="AA22" s="314">
        <f t="shared" si="9"/>
        <v>25.540477612535454</v>
      </c>
      <c r="AB22" s="314">
        <f t="shared" si="9"/>
        <v>26.135633086071564</v>
      </c>
      <c r="AC22" s="314">
        <f t="shared" si="9"/>
        <v>26.03954795379865</v>
      </c>
      <c r="AD22" s="314">
        <f t="shared" si="9"/>
        <v>26.028846356750158</v>
      </c>
      <c r="AE22" s="314">
        <f t="shared" si="9"/>
        <v>26.019758445254396</v>
      </c>
      <c r="AF22" s="314">
        <f t="shared" si="9"/>
        <v>25.702842317505706</v>
      </c>
      <c r="AG22" s="314">
        <f t="shared" si="9"/>
        <v>25.692062144046435</v>
      </c>
      <c r="AH22" s="314">
        <f t="shared" si="9"/>
        <v>25.681684316709628</v>
      </c>
    </row>
    <row r="23" spans="1:34" hidden="1" outlineLevel="1" x14ac:dyDescent="0.2">
      <c r="A23" s="312" t="s">
        <v>150</v>
      </c>
      <c r="B23" s="314">
        <f>B18*B21</f>
        <v>22.448327294731097</v>
      </c>
      <c r="C23" s="314">
        <f>C18*C21</f>
        <v>23.121777113573028</v>
      </c>
      <c r="D23" s="314">
        <f>D18*D21</f>
        <v>25.124153357818972</v>
      </c>
      <c r="E23" s="314">
        <f t="shared" ref="E23:AH23" si="10">E18*E21</f>
        <v>25.745836464210484</v>
      </c>
      <c r="F23" s="314">
        <f t="shared" si="10"/>
        <v>26.090798779365947</v>
      </c>
      <c r="G23" s="314">
        <f t="shared" si="10"/>
        <v>26.432013669591637</v>
      </c>
      <c r="H23" s="314">
        <f t="shared" si="10"/>
        <v>26.883688423023486</v>
      </c>
      <c r="I23" s="314">
        <f t="shared" si="10"/>
        <v>27.351178103874048</v>
      </c>
      <c r="J23" s="314">
        <f t="shared" si="10"/>
        <v>27.866854690610079</v>
      </c>
      <c r="K23" s="314">
        <f t="shared" si="10"/>
        <v>28.324250969948672</v>
      </c>
      <c r="L23" s="314">
        <f t="shared" si="10"/>
        <v>29.011540748068644</v>
      </c>
      <c r="M23" s="314">
        <f t="shared" si="10"/>
        <v>29.708895305045864</v>
      </c>
      <c r="N23" s="314">
        <f t="shared" si="10"/>
        <v>30.563396589170711</v>
      </c>
      <c r="O23" s="314">
        <f t="shared" si="10"/>
        <v>31.14706063293356</v>
      </c>
      <c r="P23" s="314">
        <f t="shared" si="10"/>
        <v>31.836183769684517</v>
      </c>
      <c r="Q23" s="314">
        <f t="shared" si="10"/>
        <v>32.685803426390351</v>
      </c>
      <c r="R23" s="314">
        <f t="shared" si="10"/>
        <v>33.133874077019129</v>
      </c>
      <c r="S23" s="314">
        <f t="shared" si="10"/>
        <v>33.318561184405382</v>
      </c>
      <c r="T23" s="314">
        <f t="shared" si="10"/>
        <v>34.163499070155595</v>
      </c>
      <c r="U23" s="314">
        <f t="shared" si="10"/>
        <v>34.876854758570779</v>
      </c>
      <c r="V23" s="314">
        <f t="shared" si="10"/>
        <v>35.730191741273693</v>
      </c>
      <c r="W23" s="314">
        <f t="shared" si="10"/>
        <v>36.432246689958944</v>
      </c>
      <c r="X23" s="314">
        <f t="shared" si="10"/>
        <v>37.200891594689907</v>
      </c>
      <c r="Y23" s="314">
        <f t="shared" si="10"/>
        <v>37.903091162475228</v>
      </c>
      <c r="Z23" s="314">
        <f t="shared" si="10"/>
        <v>38.617058185573555</v>
      </c>
      <c r="AA23" s="314">
        <f t="shared" si="10"/>
        <v>39.319282387464547</v>
      </c>
      <c r="AB23" s="314">
        <f t="shared" si="10"/>
        <v>40.26840691392843</v>
      </c>
      <c r="AC23" s="314">
        <f t="shared" si="10"/>
        <v>41.908772046201349</v>
      </c>
      <c r="AD23" s="314">
        <f t="shared" si="10"/>
        <v>43.463753643249852</v>
      </c>
      <c r="AE23" s="314">
        <f t="shared" si="10"/>
        <v>43.472841554745614</v>
      </c>
      <c r="AF23" s="314">
        <f t="shared" si="10"/>
        <v>43.789757682494312</v>
      </c>
      <c r="AG23" s="314">
        <f t="shared" si="10"/>
        <v>43.800537855953579</v>
      </c>
      <c r="AH23" s="314">
        <f t="shared" si="10"/>
        <v>43.810915683290382</v>
      </c>
    </row>
    <row r="24" spans="1:34" hidden="1" outlineLevel="1" x14ac:dyDescent="0.2">
      <c r="A24" s="312" t="s">
        <v>151</v>
      </c>
      <c r="B24" s="314">
        <f>B22/B8</f>
        <v>3.2349950970054726</v>
      </c>
      <c r="C24" s="314">
        <f>C22/C8</f>
        <v>3.3320449499156366</v>
      </c>
      <c r="D24" s="314">
        <f>D22/D8</f>
        <v>3.1630413621207873</v>
      </c>
      <c r="E24" s="314">
        <f t="shared" ref="E24:AH24" si="11">E22/E8</f>
        <v>3.1931631005835923</v>
      </c>
      <c r="F24" s="314">
        <f t="shared" si="11"/>
        <v>3.278684835024789</v>
      </c>
      <c r="G24" s="314">
        <f t="shared" si="11"/>
        <v>3.364956810621019</v>
      </c>
      <c r="H24" s="314">
        <f t="shared" si="11"/>
        <v>3.4291145245816788</v>
      </c>
      <c r="I24" s="314">
        <f t="shared" si="11"/>
        <v>3.490106061864827</v>
      </c>
      <c r="J24" s="314">
        <f t="shared" si="11"/>
        <v>3.5414504946411469</v>
      </c>
      <c r="K24" s="314">
        <f t="shared" si="11"/>
        <v>3.6044627489100818</v>
      </c>
      <c r="L24" s="314">
        <f t="shared" si="11"/>
        <v>3.6987418172871447</v>
      </c>
      <c r="M24" s="314">
        <f t="shared" si="11"/>
        <v>3.7910058989849484</v>
      </c>
      <c r="N24" s="314">
        <f t="shared" si="11"/>
        <v>3.8518089256130921</v>
      </c>
      <c r="O24" s="314">
        <f t="shared" si="11"/>
        <v>3.9668340508404545</v>
      </c>
      <c r="P24" s="314">
        <f t="shared" si="11"/>
        <v>4.0607460775495268</v>
      </c>
      <c r="Q24" s="314">
        <f t="shared" si="11"/>
        <v>4.1225264146940708</v>
      </c>
      <c r="R24" s="314">
        <f t="shared" si="11"/>
        <v>4.2646975790779784</v>
      </c>
      <c r="S24" s="314">
        <f t="shared" si="11"/>
        <v>4.4595985986029989</v>
      </c>
      <c r="T24" s="314">
        <f t="shared" si="11"/>
        <v>4.5223162346434975</v>
      </c>
      <c r="U24" s="314">
        <f t="shared" si="11"/>
        <v>4.6113768612870079</v>
      </c>
      <c r="V24" s="314">
        <f t="shared" si="11"/>
        <v>4.6724129831365326</v>
      </c>
      <c r="W24" s="314">
        <f t="shared" si="11"/>
        <v>4.7637360380305349</v>
      </c>
      <c r="X24" s="314">
        <f t="shared" si="11"/>
        <v>4.8417276649510343</v>
      </c>
      <c r="Y24" s="314">
        <f t="shared" si="11"/>
        <v>4.9330217668432503</v>
      </c>
      <c r="Z24" s="314">
        <f t="shared" si="11"/>
        <v>5.02196000319279</v>
      </c>
      <c r="AA24" s="314">
        <f t="shared" si="11"/>
        <v>5.1132491732931156</v>
      </c>
      <c r="AB24" s="314">
        <f t="shared" si="11"/>
        <v>5.2324003606438865</v>
      </c>
      <c r="AC24" s="314">
        <f t="shared" si="11"/>
        <v>5.2131639457806376</v>
      </c>
      <c r="AD24" s="314">
        <f t="shared" si="11"/>
        <v>5.2110214669636301</v>
      </c>
      <c r="AE24" s="314">
        <f t="shared" si="11"/>
        <v>5.2092020508725287</v>
      </c>
      <c r="AF24" s="314">
        <f t="shared" si="11"/>
        <v>5.1457548768299057</v>
      </c>
      <c r="AG24" s="314">
        <f t="shared" si="11"/>
        <v>5.1435966668753075</v>
      </c>
      <c r="AH24" s="314">
        <f t="shared" si="11"/>
        <v>5.1415190073320707</v>
      </c>
    </row>
    <row r="25" spans="1:34" hidden="1" outlineLevel="1" x14ac:dyDescent="0.2">
      <c r="A25" s="312" t="s">
        <v>152</v>
      </c>
      <c r="B25" s="314">
        <f>B23/B11</f>
        <v>5.0025697376373284</v>
      </c>
      <c r="C25" s="314">
        <f>C23/C11</f>
        <v>5.1526468297664474</v>
      </c>
      <c r="D25" s="314">
        <f>D23/D11</f>
        <v>5.598872807823164</v>
      </c>
      <c r="E25" s="314">
        <f t="shared" ref="E25:AH25" si="12">E23/E11</f>
        <v>5.7374137803242418</v>
      </c>
      <c r="F25" s="314">
        <f t="shared" si="12"/>
        <v>5.8142880175787512</v>
      </c>
      <c r="G25" s="314">
        <f t="shared" si="12"/>
        <v>5.8903271478650829</v>
      </c>
      <c r="H25" s="314">
        <f t="shared" si="12"/>
        <v>5.9909820618418275</v>
      </c>
      <c r="I25" s="314">
        <f t="shared" si="12"/>
        <v>6.0951613042136934</v>
      </c>
      <c r="J25" s="314">
        <f t="shared" si="12"/>
        <v>6.2100789126993492</v>
      </c>
      <c r="K25" s="314">
        <f t="shared" si="12"/>
        <v>6.3120088585293983</v>
      </c>
      <c r="L25" s="314">
        <f t="shared" si="12"/>
        <v>6.465170160922626</v>
      </c>
      <c r="M25" s="314">
        <f t="shared" si="12"/>
        <v>6.6205743813500666</v>
      </c>
      <c r="N25" s="314">
        <f t="shared" si="12"/>
        <v>6.8109984699073696</v>
      </c>
      <c r="O25" s="314">
        <f t="shared" si="12"/>
        <v>6.9410669620466647</v>
      </c>
      <c r="P25" s="314">
        <f t="shared" si="12"/>
        <v>7.0946368251440006</v>
      </c>
      <c r="Q25" s="314">
        <f t="shared" si="12"/>
        <v>7.2839730517294008</v>
      </c>
      <c r="R25" s="314">
        <f t="shared" si="12"/>
        <v>7.3838247978185221</v>
      </c>
      <c r="S25" s="314">
        <f t="shared" si="12"/>
        <v>7.4249819906111947</v>
      </c>
      <c r="T25" s="314">
        <f t="shared" si="12"/>
        <v>7.6132748928814395</v>
      </c>
      <c r="U25" s="314">
        <f t="shared" si="12"/>
        <v>7.7722449369378994</v>
      </c>
      <c r="V25" s="314">
        <f t="shared" si="12"/>
        <v>7.9624095629979585</v>
      </c>
      <c r="W25" s="314">
        <f t="shared" si="12"/>
        <v>8.1188612573420489</v>
      </c>
      <c r="X25" s="314">
        <f t="shared" si="12"/>
        <v>8.2901524047363022</v>
      </c>
      <c r="Y25" s="314">
        <f t="shared" si="12"/>
        <v>8.4466363271891503</v>
      </c>
      <c r="Z25" s="314">
        <f t="shared" si="12"/>
        <v>8.6057426060904305</v>
      </c>
      <c r="AA25" s="314">
        <f t="shared" si="12"/>
        <v>8.7622320182098328</v>
      </c>
      <c r="AB25" s="314">
        <f t="shared" si="12"/>
        <v>8.9737427277161057</v>
      </c>
      <c r="AC25" s="314">
        <f t="shared" si="12"/>
        <v>9.3392951745262511</v>
      </c>
      <c r="AD25" s="314">
        <f t="shared" si="12"/>
        <v>9.6858200526539697</v>
      </c>
      <c r="AE25" s="314">
        <f t="shared" si="12"/>
        <v>9.6878452775373258</v>
      </c>
      <c r="AF25" s="314">
        <f t="shared" si="12"/>
        <v>9.7584694719028882</v>
      </c>
      <c r="AG25" s="314">
        <f t="shared" si="12"/>
        <v>9.7608718143494215</v>
      </c>
      <c r="AH25" s="314">
        <f t="shared" si="12"/>
        <v>9.7631844946794928</v>
      </c>
    </row>
    <row r="26" spans="1:34" hidden="1" outlineLevel="1" x14ac:dyDescent="0.2">
      <c r="B26" s="314"/>
      <c r="C26" s="314"/>
      <c r="D26" s="314"/>
      <c r="E26" s="314"/>
      <c r="F26" s="314"/>
      <c r="G26" s="314"/>
      <c r="H26" s="314"/>
      <c r="I26" s="314"/>
      <c r="J26" s="314"/>
      <c r="K26" s="314"/>
      <c r="L26" s="314"/>
      <c r="M26" s="314"/>
      <c r="N26" s="314"/>
      <c r="O26" s="314"/>
      <c r="P26" s="314"/>
      <c r="Q26" s="314"/>
      <c r="R26" s="314"/>
      <c r="S26" s="314"/>
      <c r="T26" s="314"/>
      <c r="U26" s="314"/>
    </row>
    <row r="27" spans="1:34" hidden="1" outlineLevel="1" x14ac:dyDescent="0.2">
      <c r="A27" s="312" t="s">
        <v>153</v>
      </c>
      <c r="B27" s="314">
        <f>MIN(B9,B24)</f>
        <v>1.1737</v>
      </c>
      <c r="C27" s="314">
        <f t="shared" ref="C27:AH27" si="13">MIN(C9,C24)</f>
        <v>1.1737</v>
      </c>
      <c r="D27" s="314">
        <f t="shared" si="13"/>
        <v>1.18943</v>
      </c>
      <c r="E27" s="314">
        <f t="shared" si="13"/>
        <v>1.2027399999999999</v>
      </c>
      <c r="F27" s="314">
        <f t="shared" si="13"/>
        <v>1.21726</v>
      </c>
      <c r="G27" s="314">
        <f t="shared" si="13"/>
        <v>1.2317799999999999</v>
      </c>
      <c r="H27" s="314">
        <f t="shared" si="13"/>
        <v>1.2487200000000001</v>
      </c>
      <c r="I27" s="314">
        <f t="shared" si="13"/>
        <v>1.2644499999999999</v>
      </c>
      <c r="J27" s="314">
        <f t="shared" si="13"/>
        <v>1.2813899999999998</v>
      </c>
      <c r="K27" s="314">
        <f t="shared" si="13"/>
        <v>1.29833</v>
      </c>
      <c r="L27" s="314">
        <f t="shared" si="13"/>
        <v>1.3201099999999999</v>
      </c>
      <c r="M27" s="314">
        <f t="shared" si="13"/>
        <v>1.3406800000000001</v>
      </c>
      <c r="N27" s="314">
        <f t="shared" si="13"/>
        <v>1.34189</v>
      </c>
      <c r="O27" s="314">
        <f t="shared" si="13"/>
        <v>1.3443099999999999</v>
      </c>
      <c r="P27" s="314">
        <f t="shared" si="13"/>
        <v>1.3685099999999999</v>
      </c>
      <c r="Q27" s="314">
        <f t="shared" si="13"/>
        <v>1.3806099999999999</v>
      </c>
      <c r="R27" s="314">
        <f t="shared" si="13"/>
        <v>1.3648799999999999</v>
      </c>
      <c r="S27" s="314">
        <f t="shared" si="13"/>
        <v>1.4048099999999999</v>
      </c>
      <c r="T27" s="314">
        <f t="shared" si="13"/>
        <v>1.41449</v>
      </c>
      <c r="U27" s="314">
        <f t="shared" si="13"/>
        <v>1.43869</v>
      </c>
      <c r="V27" s="314">
        <f t="shared" si="13"/>
        <v>1.4641</v>
      </c>
      <c r="W27" s="314">
        <f t="shared" si="13"/>
        <v>1.4895100000000001</v>
      </c>
      <c r="X27" s="314">
        <f t="shared" si="13"/>
        <v>1.5137099999999999</v>
      </c>
      <c r="Y27" s="314">
        <f t="shared" si="13"/>
        <v>1.53912</v>
      </c>
      <c r="Z27" s="314">
        <f t="shared" si="13"/>
        <v>1.56332</v>
      </c>
      <c r="AA27" s="314">
        <f t="shared" si="13"/>
        <v>1.58873</v>
      </c>
      <c r="AB27" s="314">
        <f t="shared" si="13"/>
        <v>1.6177699999999999</v>
      </c>
      <c r="AC27" s="314">
        <f t="shared" si="13"/>
        <v>1.64802</v>
      </c>
      <c r="AD27" s="314">
        <f t="shared" si="13"/>
        <v>1.7557100000000001</v>
      </c>
      <c r="AE27" s="314">
        <f t="shared" si="13"/>
        <v>1.78596</v>
      </c>
      <c r="AF27" s="314">
        <f t="shared" si="13"/>
        <v>1.7871700000000001</v>
      </c>
      <c r="AG27" s="314">
        <f t="shared" si="13"/>
        <v>1.8210499999999998</v>
      </c>
      <c r="AH27" s="314">
        <f t="shared" si="13"/>
        <v>1.8549299999999997</v>
      </c>
    </row>
    <row r="28" spans="1:34" hidden="1" outlineLevel="1" x14ac:dyDescent="0.2">
      <c r="A28" s="312" t="s">
        <v>154</v>
      </c>
      <c r="B28" s="314">
        <f>MIN(B12,B25)</f>
        <v>1.8149999999999999</v>
      </c>
      <c r="C28" s="314">
        <f t="shared" ref="C28:AH28" si="14">MIN(C12,C25)</f>
        <v>1.8149999999999999</v>
      </c>
      <c r="D28" s="314">
        <f t="shared" si="14"/>
        <v>2.1053999999999999</v>
      </c>
      <c r="E28" s="314">
        <f t="shared" si="14"/>
        <v>2.16106</v>
      </c>
      <c r="F28" s="314">
        <f t="shared" si="14"/>
        <v>2.1586400000000001</v>
      </c>
      <c r="G28" s="314">
        <f t="shared" si="14"/>
        <v>2.1562199999999998</v>
      </c>
      <c r="H28" s="314">
        <f t="shared" si="14"/>
        <v>2.1816299999999997</v>
      </c>
      <c r="I28" s="314">
        <f t="shared" si="14"/>
        <v>2.20825</v>
      </c>
      <c r="J28" s="314">
        <f t="shared" si="14"/>
        <v>2.2469700000000001</v>
      </c>
      <c r="K28" s="314">
        <f t="shared" si="14"/>
        <v>2.27359</v>
      </c>
      <c r="L28" s="314">
        <f t="shared" si="14"/>
        <v>2.3074699999999999</v>
      </c>
      <c r="M28" s="314">
        <f t="shared" si="14"/>
        <v>2.3413499999999998</v>
      </c>
      <c r="N28" s="314">
        <f t="shared" si="14"/>
        <v>2.3728099999999999</v>
      </c>
      <c r="O28" s="314">
        <f t="shared" si="14"/>
        <v>2.3522399999999997</v>
      </c>
      <c r="P28" s="314">
        <f t="shared" si="14"/>
        <v>2.3909599999999998</v>
      </c>
      <c r="Q28" s="314">
        <f t="shared" si="14"/>
        <v>2.4393599999999998</v>
      </c>
      <c r="R28" s="314">
        <f t="shared" si="14"/>
        <v>2.36313</v>
      </c>
      <c r="S28" s="314">
        <f t="shared" si="14"/>
        <v>2.33893</v>
      </c>
      <c r="T28" s="314">
        <f t="shared" si="14"/>
        <v>2.3812799999999998</v>
      </c>
      <c r="U28" s="314">
        <f t="shared" si="14"/>
        <v>2.4248400000000001</v>
      </c>
      <c r="V28" s="314">
        <f t="shared" si="14"/>
        <v>2.4950199999999998</v>
      </c>
      <c r="W28" s="314">
        <f t="shared" si="14"/>
        <v>2.5385799999999996</v>
      </c>
      <c r="X28" s="314">
        <f t="shared" si="14"/>
        <v>2.5918199999999998</v>
      </c>
      <c r="Y28" s="314">
        <f t="shared" si="14"/>
        <v>2.6353800000000001</v>
      </c>
      <c r="Z28" s="314">
        <f t="shared" si="14"/>
        <v>2.6789399999999999</v>
      </c>
      <c r="AA28" s="314">
        <f t="shared" si="14"/>
        <v>2.7225000000000001</v>
      </c>
      <c r="AB28" s="314">
        <f t="shared" si="14"/>
        <v>2.7745299999999999</v>
      </c>
      <c r="AC28" s="314">
        <f t="shared" si="14"/>
        <v>2.9523999999999999</v>
      </c>
      <c r="AD28" s="314">
        <f t="shared" si="14"/>
        <v>3.2633700000000001</v>
      </c>
      <c r="AE28" s="314">
        <f t="shared" si="14"/>
        <v>3.32145</v>
      </c>
      <c r="AF28" s="314">
        <f t="shared" si="14"/>
        <v>3.3892100000000003</v>
      </c>
      <c r="AG28" s="314">
        <f t="shared" si="14"/>
        <v>3.4557599999999997</v>
      </c>
      <c r="AH28" s="314">
        <f t="shared" si="14"/>
        <v>3.5223100000000001</v>
      </c>
    </row>
    <row r="29" spans="1:34" collapsed="1" x14ac:dyDescent="0.2">
      <c r="B29" s="314"/>
      <c r="C29" s="314"/>
      <c r="D29" s="314"/>
      <c r="E29" s="314"/>
      <c r="F29" s="314"/>
      <c r="G29" s="314"/>
      <c r="H29" s="314"/>
      <c r="I29" s="314"/>
      <c r="J29" s="314"/>
      <c r="K29" s="314"/>
      <c r="L29" s="314"/>
      <c r="M29" s="314"/>
      <c r="N29" s="314"/>
      <c r="O29" s="314"/>
      <c r="P29" s="314"/>
      <c r="Q29" s="314"/>
      <c r="R29" s="314"/>
      <c r="S29" s="314"/>
      <c r="T29" s="314"/>
      <c r="U29" s="314"/>
    </row>
    <row r="30" spans="1:34" ht="15" x14ac:dyDescent="0.2">
      <c r="A30" s="493" t="str">
        <f>"Pie ierobežota tarifu apjoma, kas nepārsniedz "&amp;'Datu ievade'!B213*100&amp;"% no mājsaimniecību ienākumiem"</f>
        <v>Pie ierobežota tarifu apjoma, kas nepārsniedz 4% no mājsaimniecību ienākumiem</v>
      </c>
    </row>
    <row r="31" spans="1:34" ht="12.75" x14ac:dyDescent="0.2">
      <c r="A31" s="517"/>
      <c r="B31" s="112">
        <f>Aprēķini!B6</f>
        <v>2017</v>
      </c>
      <c r="C31" s="112">
        <f t="shared" ref="C31:AG31" si="15">B31+1</f>
        <v>2018</v>
      </c>
      <c r="D31" s="112">
        <f t="shared" si="15"/>
        <v>2019</v>
      </c>
      <c r="E31" s="112">
        <f t="shared" si="15"/>
        <v>2020</v>
      </c>
      <c r="F31" s="112">
        <f t="shared" si="15"/>
        <v>2021</v>
      </c>
      <c r="G31" s="112">
        <f t="shared" si="15"/>
        <v>2022</v>
      </c>
      <c r="H31" s="112">
        <f t="shared" si="15"/>
        <v>2023</v>
      </c>
      <c r="I31" s="112">
        <f t="shared" si="15"/>
        <v>2024</v>
      </c>
      <c r="J31" s="112">
        <f t="shared" si="15"/>
        <v>2025</v>
      </c>
      <c r="K31" s="112">
        <f t="shared" si="15"/>
        <v>2026</v>
      </c>
      <c r="L31" s="112">
        <f t="shared" si="15"/>
        <v>2027</v>
      </c>
      <c r="M31" s="112">
        <f t="shared" si="15"/>
        <v>2028</v>
      </c>
      <c r="N31" s="112">
        <f t="shared" si="15"/>
        <v>2029</v>
      </c>
      <c r="O31" s="112">
        <f t="shared" si="15"/>
        <v>2030</v>
      </c>
      <c r="P31" s="112">
        <f t="shared" si="15"/>
        <v>2031</v>
      </c>
      <c r="Q31" s="112">
        <f t="shared" si="15"/>
        <v>2032</v>
      </c>
      <c r="R31" s="112">
        <f t="shared" si="15"/>
        <v>2033</v>
      </c>
      <c r="S31" s="112">
        <f t="shared" si="15"/>
        <v>2034</v>
      </c>
      <c r="T31" s="112">
        <f t="shared" si="15"/>
        <v>2035</v>
      </c>
      <c r="U31" s="112">
        <f t="shared" si="15"/>
        <v>2036</v>
      </c>
      <c r="V31" s="112">
        <f t="shared" si="15"/>
        <v>2037</v>
      </c>
      <c r="W31" s="112">
        <f t="shared" si="15"/>
        <v>2038</v>
      </c>
      <c r="X31" s="112">
        <f t="shared" si="15"/>
        <v>2039</v>
      </c>
      <c r="Y31" s="112">
        <f t="shared" si="15"/>
        <v>2040</v>
      </c>
      <c r="Z31" s="112">
        <f t="shared" si="15"/>
        <v>2041</v>
      </c>
      <c r="AA31" s="112">
        <f t="shared" si="15"/>
        <v>2042</v>
      </c>
      <c r="AB31" s="112">
        <f t="shared" si="15"/>
        <v>2043</v>
      </c>
      <c r="AC31" s="112">
        <f t="shared" si="15"/>
        <v>2044</v>
      </c>
      <c r="AD31" s="112">
        <f t="shared" si="15"/>
        <v>2045</v>
      </c>
      <c r="AE31" s="112">
        <f t="shared" si="15"/>
        <v>2046</v>
      </c>
      <c r="AF31" s="112">
        <f t="shared" si="15"/>
        <v>2047</v>
      </c>
      <c r="AG31" s="112">
        <f t="shared" si="15"/>
        <v>2048</v>
      </c>
      <c r="AH31" s="112">
        <f>AG31+1</f>
        <v>2049</v>
      </c>
    </row>
    <row r="32" spans="1:34" ht="14.25" customHeight="1" x14ac:dyDescent="0.2">
      <c r="A32" s="518" t="s">
        <v>122</v>
      </c>
      <c r="B32" s="520">
        <f t="shared" ref="B32:AH32" si="16">B7</f>
        <v>965.17499999999995</v>
      </c>
      <c r="C32" s="520">
        <f t="shared" si="16"/>
        <v>994.13024999999993</v>
      </c>
      <c r="D32" s="520">
        <f t="shared" si="16"/>
        <v>1023.0855</v>
      </c>
      <c r="E32" s="520">
        <f t="shared" si="16"/>
        <v>1042.3890000000001</v>
      </c>
      <c r="F32" s="520">
        <f t="shared" si="16"/>
        <v>1061.6925000000001</v>
      </c>
      <c r="G32" s="520">
        <f t="shared" si="16"/>
        <v>1080.9960000000001</v>
      </c>
      <c r="H32" s="520">
        <f t="shared" si="16"/>
        <v>1100.2994999999999</v>
      </c>
      <c r="I32" s="520">
        <f t="shared" si="16"/>
        <v>1119.6029999999998</v>
      </c>
      <c r="J32" s="520">
        <f t="shared" si="16"/>
        <v>1138.9064999999998</v>
      </c>
      <c r="K32" s="520">
        <f t="shared" si="16"/>
        <v>1158.2099999999998</v>
      </c>
      <c r="L32" s="520">
        <f t="shared" si="16"/>
        <v>1187.16525</v>
      </c>
      <c r="M32" s="520">
        <f t="shared" si="16"/>
        <v>1216.1205</v>
      </c>
      <c r="N32" s="520">
        <f t="shared" si="16"/>
        <v>1245.07575</v>
      </c>
      <c r="O32" s="520">
        <f t="shared" si="16"/>
        <v>1274.0309999999999</v>
      </c>
      <c r="P32" s="520">
        <f t="shared" si="16"/>
        <v>1302.9862499999999</v>
      </c>
      <c r="Q32" s="520">
        <f t="shared" si="16"/>
        <v>1331.9414999999999</v>
      </c>
      <c r="R32" s="520">
        <f t="shared" si="16"/>
        <v>1360.8967499999999</v>
      </c>
      <c r="S32" s="520">
        <f t="shared" si="16"/>
        <v>1389.8519999999999</v>
      </c>
      <c r="T32" s="520">
        <f t="shared" si="16"/>
        <v>1418.8072499999998</v>
      </c>
      <c r="U32" s="520">
        <f t="shared" si="16"/>
        <v>1447.7624999999998</v>
      </c>
      <c r="V32" s="520">
        <f t="shared" si="16"/>
        <v>1476.71775</v>
      </c>
      <c r="W32" s="520">
        <f t="shared" si="16"/>
        <v>1505.673</v>
      </c>
      <c r="X32" s="520">
        <f t="shared" si="16"/>
        <v>1534.62825</v>
      </c>
      <c r="Y32" s="520">
        <f t="shared" si="16"/>
        <v>1563.5835</v>
      </c>
      <c r="Z32" s="520">
        <f t="shared" si="16"/>
        <v>1592.5387499999999</v>
      </c>
      <c r="AA32" s="520">
        <f t="shared" si="16"/>
        <v>1621.4939999999999</v>
      </c>
      <c r="AB32" s="520">
        <f t="shared" si="16"/>
        <v>1660.1009999999999</v>
      </c>
      <c r="AC32" s="520">
        <f t="shared" si="16"/>
        <v>1698.7079999999999</v>
      </c>
      <c r="AD32" s="520">
        <f t="shared" si="16"/>
        <v>1737.3150000000001</v>
      </c>
      <c r="AE32" s="520">
        <f t="shared" si="16"/>
        <v>1737.3150000000001</v>
      </c>
      <c r="AF32" s="520">
        <f t="shared" si="16"/>
        <v>1737.3150000000001</v>
      </c>
      <c r="AG32" s="520">
        <f t="shared" si="16"/>
        <v>1737.3150000000001</v>
      </c>
      <c r="AH32" s="520">
        <f t="shared" si="16"/>
        <v>1737.3150000000001</v>
      </c>
    </row>
    <row r="33" spans="1:34" ht="13.5" customHeight="1" x14ac:dyDescent="0.2">
      <c r="A33" s="518" t="s">
        <v>123</v>
      </c>
      <c r="B33" s="520">
        <f t="shared" ref="B33:AH33" si="17">B8</f>
        <v>4.9949604932095406</v>
      </c>
      <c r="C33" s="520">
        <f t="shared" si="17"/>
        <v>4.9949604932095406</v>
      </c>
      <c r="D33" s="520">
        <f t="shared" si="17"/>
        <v>4.9949604932095406</v>
      </c>
      <c r="E33" s="520">
        <f t="shared" si="17"/>
        <v>4.9949604932095406</v>
      </c>
      <c r="F33" s="520">
        <f t="shared" si="17"/>
        <v>4.9949604932095406</v>
      </c>
      <c r="G33" s="520">
        <f t="shared" si="17"/>
        <v>4.9949604932095406</v>
      </c>
      <c r="H33" s="520">
        <f t="shared" si="17"/>
        <v>4.9949604932095406</v>
      </c>
      <c r="I33" s="520">
        <f t="shared" si="17"/>
        <v>4.9949604932095406</v>
      </c>
      <c r="J33" s="520">
        <f t="shared" si="17"/>
        <v>4.9949604932095406</v>
      </c>
      <c r="K33" s="520">
        <f t="shared" si="17"/>
        <v>4.9949604932095406</v>
      </c>
      <c r="L33" s="520">
        <f t="shared" si="17"/>
        <v>4.9949604932095406</v>
      </c>
      <c r="M33" s="520">
        <f t="shared" si="17"/>
        <v>4.9949604932095406</v>
      </c>
      <c r="N33" s="520">
        <f t="shared" si="17"/>
        <v>4.9949604932095406</v>
      </c>
      <c r="O33" s="520">
        <f t="shared" si="17"/>
        <v>4.9949604932095406</v>
      </c>
      <c r="P33" s="520">
        <f t="shared" si="17"/>
        <v>4.9949604932095406</v>
      </c>
      <c r="Q33" s="520">
        <f t="shared" si="17"/>
        <v>4.9949604932095406</v>
      </c>
      <c r="R33" s="520">
        <f t="shared" si="17"/>
        <v>4.9949604932095406</v>
      </c>
      <c r="S33" s="520">
        <f t="shared" si="17"/>
        <v>4.9949604932095406</v>
      </c>
      <c r="T33" s="520">
        <f t="shared" si="17"/>
        <v>4.9949604932095406</v>
      </c>
      <c r="U33" s="520">
        <f t="shared" si="17"/>
        <v>4.9949604932095406</v>
      </c>
      <c r="V33" s="520">
        <f t="shared" si="17"/>
        <v>4.9949604932095406</v>
      </c>
      <c r="W33" s="520">
        <f t="shared" si="17"/>
        <v>4.9949604932095406</v>
      </c>
      <c r="X33" s="520">
        <f t="shared" si="17"/>
        <v>4.9949604932095406</v>
      </c>
      <c r="Y33" s="520">
        <f t="shared" si="17"/>
        <v>4.9949604932095406</v>
      </c>
      <c r="Z33" s="520">
        <f t="shared" si="17"/>
        <v>4.9949604932095406</v>
      </c>
      <c r="AA33" s="520">
        <f t="shared" si="17"/>
        <v>4.9949604932095406</v>
      </c>
      <c r="AB33" s="520">
        <f t="shared" si="17"/>
        <v>4.9949604932095406</v>
      </c>
      <c r="AC33" s="520">
        <f t="shared" si="17"/>
        <v>4.9949604932095406</v>
      </c>
      <c r="AD33" s="520">
        <f t="shared" si="17"/>
        <v>4.9949604932095406</v>
      </c>
      <c r="AE33" s="520">
        <f t="shared" si="17"/>
        <v>4.9949604932095406</v>
      </c>
      <c r="AF33" s="520">
        <f t="shared" si="17"/>
        <v>4.9949604932095406</v>
      </c>
      <c r="AG33" s="520">
        <f t="shared" si="17"/>
        <v>4.9949604932095406</v>
      </c>
      <c r="AH33" s="520">
        <f t="shared" si="17"/>
        <v>4.9949604932095406</v>
      </c>
    </row>
    <row r="34" spans="1:34" ht="13.5" customHeight="1" x14ac:dyDescent="0.2">
      <c r="A34" s="518" t="s">
        <v>124</v>
      </c>
      <c r="B34" s="519">
        <f>B27</f>
        <v>1.1737</v>
      </c>
      <c r="C34" s="519">
        <f>C27</f>
        <v>1.1737</v>
      </c>
      <c r="D34" s="519">
        <f>D27</f>
        <v>1.18943</v>
      </c>
      <c r="E34" s="519">
        <f t="shared" ref="E34:AH34" si="18">E27</f>
        <v>1.2027399999999999</v>
      </c>
      <c r="F34" s="519">
        <f t="shared" si="18"/>
        <v>1.21726</v>
      </c>
      <c r="G34" s="519">
        <f t="shared" si="18"/>
        <v>1.2317799999999999</v>
      </c>
      <c r="H34" s="519">
        <f t="shared" si="18"/>
        <v>1.2487200000000001</v>
      </c>
      <c r="I34" s="519">
        <f t="shared" si="18"/>
        <v>1.2644499999999999</v>
      </c>
      <c r="J34" s="519">
        <f t="shared" si="18"/>
        <v>1.2813899999999998</v>
      </c>
      <c r="K34" s="519">
        <f t="shared" si="18"/>
        <v>1.29833</v>
      </c>
      <c r="L34" s="519">
        <f t="shared" si="18"/>
        <v>1.3201099999999999</v>
      </c>
      <c r="M34" s="519">
        <f t="shared" si="18"/>
        <v>1.3406800000000001</v>
      </c>
      <c r="N34" s="519">
        <f t="shared" si="18"/>
        <v>1.34189</v>
      </c>
      <c r="O34" s="519">
        <f t="shared" si="18"/>
        <v>1.3443099999999999</v>
      </c>
      <c r="P34" s="519">
        <f t="shared" si="18"/>
        <v>1.3685099999999999</v>
      </c>
      <c r="Q34" s="519">
        <f t="shared" si="18"/>
        <v>1.3806099999999999</v>
      </c>
      <c r="R34" s="519">
        <f t="shared" si="18"/>
        <v>1.3648799999999999</v>
      </c>
      <c r="S34" s="519">
        <f t="shared" si="18"/>
        <v>1.4048099999999999</v>
      </c>
      <c r="T34" s="519">
        <f t="shared" si="18"/>
        <v>1.41449</v>
      </c>
      <c r="U34" s="519">
        <f t="shared" si="18"/>
        <v>1.43869</v>
      </c>
      <c r="V34" s="519">
        <f t="shared" si="18"/>
        <v>1.4641</v>
      </c>
      <c r="W34" s="519">
        <f t="shared" si="18"/>
        <v>1.4895100000000001</v>
      </c>
      <c r="X34" s="519">
        <f t="shared" si="18"/>
        <v>1.5137099999999999</v>
      </c>
      <c r="Y34" s="519">
        <f t="shared" si="18"/>
        <v>1.53912</v>
      </c>
      <c r="Z34" s="519">
        <f t="shared" si="18"/>
        <v>1.56332</v>
      </c>
      <c r="AA34" s="519">
        <f t="shared" si="18"/>
        <v>1.58873</v>
      </c>
      <c r="AB34" s="519">
        <f t="shared" si="18"/>
        <v>1.6177699999999999</v>
      </c>
      <c r="AC34" s="519">
        <f t="shared" si="18"/>
        <v>1.64802</v>
      </c>
      <c r="AD34" s="519">
        <f t="shared" si="18"/>
        <v>1.7557100000000001</v>
      </c>
      <c r="AE34" s="519">
        <f t="shared" si="18"/>
        <v>1.78596</v>
      </c>
      <c r="AF34" s="519">
        <f t="shared" si="18"/>
        <v>1.7871700000000001</v>
      </c>
      <c r="AG34" s="519">
        <f t="shared" si="18"/>
        <v>1.8210499999999998</v>
      </c>
      <c r="AH34" s="519">
        <f t="shared" si="18"/>
        <v>1.8549299999999997</v>
      </c>
    </row>
    <row r="35" spans="1:34" ht="13.5" customHeight="1" x14ac:dyDescent="0.2">
      <c r="A35" s="518" t="s">
        <v>125</v>
      </c>
      <c r="B35" s="520">
        <f>B33*B34</f>
        <v>5.8625851308800376</v>
      </c>
      <c r="C35" s="520">
        <f>C33*C34</f>
        <v>5.8625851308800376</v>
      </c>
      <c r="D35" s="520">
        <f>D33*D34</f>
        <v>5.9411558594382239</v>
      </c>
      <c r="E35" s="520">
        <f t="shared" ref="E35:AH35" si="19">E33*E34</f>
        <v>6.0076387836028422</v>
      </c>
      <c r="F35" s="520">
        <f t="shared" si="19"/>
        <v>6.0801656099642454</v>
      </c>
      <c r="G35" s="520">
        <f t="shared" si="19"/>
        <v>6.1526924363256477</v>
      </c>
      <c r="H35" s="520">
        <f t="shared" si="19"/>
        <v>6.2373070670806179</v>
      </c>
      <c r="I35" s="520">
        <f t="shared" si="19"/>
        <v>6.3158777956388032</v>
      </c>
      <c r="J35" s="520">
        <f t="shared" si="19"/>
        <v>6.4004924263937726</v>
      </c>
      <c r="K35" s="520">
        <f t="shared" si="19"/>
        <v>6.4851070571487428</v>
      </c>
      <c r="L35" s="520">
        <f t="shared" si="19"/>
        <v>6.5938972966908462</v>
      </c>
      <c r="M35" s="520">
        <f t="shared" si="19"/>
        <v>6.6966436340361675</v>
      </c>
      <c r="N35" s="520">
        <f t="shared" si="19"/>
        <v>6.7026875362329505</v>
      </c>
      <c r="O35" s="520">
        <f t="shared" si="19"/>
        <v>6.7147753406265167</v>
      </c>
      <c r="P35" s="520">
        <f t="shared" si="19"/>
        <v>6.8356533845621881</v>
      </c>
      <c r="Q35" s="520">
        <f t="shared" si="19"/>
        <v>6.8960924065300233</v>
      </c>
      <c r="R35" s="520">
        <f t="shared" si="19"/>
        <v>6.8175216779718371</v>
      </c>
      <c r="S35" s="520">
        <f t="shared" si="19"/>
        <v>7.0169704504656938</v>
      </c>
      <c r="T35" s="520">
        <f t="shared" si="19"/>
        <v>7.0653216680399629</v>
      </c>
      <c r="U35" s="520">
        <f t="shared" si="19"/>
        <v>7.1861997119756342</v>
      </c>
      <c r="V35" s="520">
        <f t="shared" si="19"/>
        <v>7.3131216581080878</v>
      </c>
      <c r="W35" s="520">
        <f t="shared" si="19"/>
        <v>7.4400436042405431</v>
      </c>
      <c r="X35" s="520">
        <f t="shared" si="19"/>
        <v>7.5609216481762136</v>
      </c>
      <c r="Y35" s="520">
        <f t="shared" si="19"/>
        <v>7.687843594308668</v>
      </c>
      <c r="Z35" s="520">
        <f t="shared" si="19"/>
        <v>7.8087216382443394</v>
      </c>
      <c r="AA35" s="520">
        <f t="shared" si="19"/>
        <v>7.935643584376793</v>
      </c>
      <c r="AB35" s="520">
        <f t="shared" si="19"/>
        <v>8.0806972370995975</v>
      </c>
      <c r="AC35" s="520">
        <f t="shared" si="19"/>
        <v>8.231794792019187</v>
      </c>
      <c r="AD35" s="520">
        <f t="shared" si="19"/>
        <v>8.7697020875329237</v>
      </c>
      <c r="AE35" s="520">
        <f t="shared" si="19"/>
        <v>8.9207996424525113</v>
      </c>
      <c r="AF35" s="520">
        <f t="shared" si="19"/>
        <v>8.9268435446492962</v>
      </c>
      <c r="AG35" s="520">
        <f t="shared" si="19"/>
        <v>9.0960728061592331</v>
      </c>
      <c r="AH35" s="520">
        <f t="shared" si="19"/>
        <v>9.2653020676691717</v>
      </c>
    </row>
    <row r="36" spans="1:34" ht="14.25" customHeight="1" x14ac:dyDescent="0.2">
      <c r="A36" s="518" t="s">
        <v>126</v>
      </c>
      <c r="B36" s="520">
        <f t="shared" ref="B36:AH36" si="20">B11</f>
        <v>4.4873591917847513</v>
      </c>
      <c r="C36" s="520">
        <f t="shared" si="20"/>
        <v>4.4873591917847513</v>
      </c>
      <c r="D36" s="520">
        <f t="shared" si="20"/>
        <v>4.4873591917847513</v>
      </c>
      <c r="E36" s="520">
        <f t="shared" si="20"/>
        <v>4.4873591917847513</v>
      </c>
      <c r="F36" s="520">
        <f t="shared" si="20"/>
        <v>4.4873591917847513</v>
      </c>
      <c r="G36" s="520">
        <f t="shared" si="20"/>
        <v>4.4873591917847513</v>
      </c>
      <c r="H36" s="520">
        <f t="shared" si="20"/>
        <v>4.4873591917847513</v>
      </c>
      <c r="I36" s="520">
        <f t="shared" si="20"/>
        <v>4.4873591917847513</v>
      </c>
      <c r="J36" s="520">
        <f t="shared" si="20"/>
        <v>4.4873591917847513</v>
      </c>
      <c r="K36" s="520">
        <f t="shared" si="20"/>
        <v>4.4873591917847513</v>
      </c>
      <c r="L36" s="520">
        <f t="shared" si="20"/>
        <v>4.4873591917847513</v>
      </c>
      <c r="M36" s="520">
        <f t="shared" si="20"/>
        <v>4.4873591917847513</v>
      </c>
      <c r="N36" s="520">
        <f t="shared" si="20"/>
        <v>4.4873591917847513</v>
      </c>
      <c r="O36" s="520">
        <f t="shared" si="20"/>
        <v>4.4873591917847513</v>
      </c>
      <c r="P36" s="520">
        <f t="shared" si="20"/>
        <v>4.4873591917847513</v>
      </c>
      <c r="Q36" s="520">
        <f t="shared" si="20"/>
        <v>4.4873591917847513</v>
      </c>
      <c r="R36" s="520">
        <f t="shared" si="20"/>
        <v>4.4873591917847513</v>
      </c>
      <c r="S36" s="520">
        <f t="shared" si="20"/>
        <v>4.4873591917847513</v>
      </c>
      <c r="T36" s="520">
        <f t="shared" si="20"/>
        <v>4.4873591917847513</v>
      </c>
      <c r="U36" s="520">
        <f t="shared" si="20"/>
        <v>4.4873591917847513</v>
      </c>
      <c r="V36" s="520">
        <f t="shared" si="20"/>
        <v>4.4873591917847513</v>
      </c>
      <c r="W36" s="520">
        <f t="shared" si="20"/>
        <v>4.4873591917847513</v>
      </c>
      <c r="X36" s="520">
        <f t="shared" si="20"/>
        <v>4.4873591917847513</v>
      </c>
      <c r="Y36" s="520">
        <f t="shared" si="20"/>
        <v>4.4873591917847513</v>
      </c>
      <c r="Z36" s="520">
        <f t="shared" si="20"/>
        <v>4.4873591917847513</v>
      </c>
      <c r="AA36" s="520">
        <f t="shared" si="20"/>
        <v>4.4873591917847513</v>
      </c>
      <c r="AB36" s="520">
        <f t="shared" si="20"/>
        <v>4.4873591917847513</v>
      </c>
      <c r="AC36" s="520">
        <f t="shared" si="20"/>
        <v>4.4873591917847513</v>
      </c>
      <c r="AD36" s="520">
        <f t="shared" si="20"/>
        <v>4.4873591917847513</v>
      </c>
      <c r="AE36" s="520">
        <f t="shared" si="20"/>
        <v>4.4873591917847513</v>
      </c>
      <c r="AF36" s="520">
        <f t="shared" si="20"/>
        <v>4.4873591917847513</v>
      </c>
      <c r="AG36" s="520">
        <f t="shared" si="20"/>
        <v>4.4873591917847513</v>
      </c>
      <c r="AH36" s="520">
        <f t="shared" si="20"/>
        <v>4.4873591917847513</v>
      </c>
    </row>
    <row r="37" spans="1:34" ht="14.25" customHeight="1" x14ac:dyDescent="0.2">
      <c r="A37" s="518" t="s">
        <v>127</v>
      </c>
      <c r="B37" s="519">
        <f>B28</f>
        <v>1.8149999999999999</v>
      </c>
      <c r="C37" s="519">
        <f t="shared" ref="C37:AH37" si="21">C28</f>
        <v>1.8149999999999999</v>
      </c>
      <c r="D37" s="519">
        <f t="shared" si="21"/>
        <v>2.1053999999999999</v>
      </c>
      <c r="E37" s="519">
        <f t="shared" si="21"/>
        <v>2.16106</v>
      </c>
      <c r="F37" s="519">
        <f t="shared" si="21"/>
        <v>2.1586400000000001</v>
      </c>
      <c r="G37" s="519">
        <f t="shared" si="21"/>
        <v>2.1562199999999998</v>
      </c>
      <c r="H37" s="519">
        <f t="shared" si="21"/>
        <v>2.1816299999999997</v>
      </c>
      <c r="I37" s="519">
        <f t="shared" si="21"/>
        <v>2.20825</v>
      </c>
      <c r="J37" s="519">
        <f t="shared" si="21"/>
        <v>2.2469700000000001</v>
      </c>
      <c r="K37" s="519">
        <f t="shared" si="21"/>
        <v>2.27359</v>
      </c>
      <c r="L37" s="519">
        <f t="shared" si="21"/>
        <v>2.3074699999999999</v>
      </c>
      <c r="M37" s="519">
        <f t="shared" si="21"/>
        <v>2.3413499999999998</v>
      </c>
      <c r="N37" s="519">
        <f t="shared" si="21"/>
        <v>2.3728099999999999</v>
      </c>
      <c r="O37" s="519">
        <f t="shared" si="21"/>
        <v>2.3522399999999997</v>
      </c>
      <c r="P37" s="519">
        <f t="shared" si="21"/>
        <v>2.3909599999999998</v>
      </c>
      <c r="Q37" s="519">
        <f t="shared" si="21"/>
        <v>2.4393599999999998</v>
      </c>
      <c r="R37" s="519">
        <f t="shared" si="21"/>
        <v>2.36313</v>
      </c>
      <c r="S37" s="519">
        <f t="shared" si="21"/>
        <v>2.33893</v>
      </c>
      <c r="T37" s="519">
        <f t="shared" si="21"/>
        <v>2.3812799999999998</v>
      </c>
      <c r="U37" s="519">
        <f t="shared" si="21"/>
        <v>2.4248400000000001</v>
      </c>
      <c r="V37" s="519">
        <f t="shared" si="21"/>
        <v>2.4950199999999998</v>
      </c>
      <c r="W37" s="519">
        <f t="shared" si="21"/>
        <v>2.5385799999999996</v>
      </c>
      <c r="X37" s="519">
        <f t="shared" si="21"/>
        <v>2.5918199999999998</v>
      </c>
      <c r="Y37" s="519">
        <f t="shared" si="21"/>
        <v>2.6353800000000001</v>
      </c>
      <c r="Z37" s="519">
        <f t="shared" si="21"/>
        <v>2.6789399999999999</v>
      </c>
      <c r="AA37" s="519">
        <f t="shared" si="21"/>
        <v>2.7225000000000001</v>
      </c>
      <c r="AB37" s="519">
        <f t="shared" si="21"/>
        <v>2.7745299999999999</v>
      </c>
      <c r="AC37" s="519">
        <f t="shared" si="21"/>
        <v>2.9523999999999999</v>
      </c>
      <c r="AD37" s="519">
        <f t="shared" si="21"/>
        <v>3.2633700000000001</v>
      </c>
      <c r="AE37" s="519">
        <f t="shared" si="21"/>
        <v>3.32145</v>
      </c>
      <c r="AF37" s="519">
        <f t="shared" si="21"/>
        <v>3.3892100000000003</v>
      </c>
      <c r="AG37" s="519">
        <f t="shared" si="21"/>
        <v>3.4557599999999997</v>
      </c>
      <c r="AH37" s="519">
        <f t="shared" si="21"/>
        <v>3.5223100000000001</v>
      </c>
    </row>
    <row r="38" spans="1:34" ht="14.25" customHeight="1" x14ac:dyDescent="0.2">
      <c r="A38" s="518" t="s">
        <v>128</v>
      </c>
      <c r="B38" s="520">
        <f>B37*B36</f>
        <v>8.1445569330893228</v>
      </c>
      <c r="C38" s="520">
        <f t="shared" ref="C38:AH38" si="22">C37*C36</f>
        <v>8.1445569330893228</v>
      </c>
      <c r="D38" s="520">
        <f t="shared" si="22"/>
        <v>9.4476860423836158</v>
      </c>
      <c r="E38" s="520">
        <f t="shared" si="22"/>
        <v>9.6974524549983538</v>
      </c>
      <c r="F38" s="520">
        <f t="shared" si="22"/>
        <v>9.6865930457542362</v>
      </c>
      <c r="G38" s="520">
        <f t="shared" si="22"/>
        <v>9.675733636510115</v>
      </c>
      <c r="H38" s="520">
        <f t="shared" si="22"/>
        <v>9.7897574335733655</v>
      </c>
      <c r="I38" s="520">
        <f t="shared" si="22"/>
        <v>9.9092109352586775</v>
      </c>
      <c r="J38" s="520">
        <f t="shared" si="22"/>
        <v>10.082961483164583</v>
      </c>
      <c r="K38" s="520">
        <f t="shared" si="22"/>
        <v>10.202414984849893</v>
      </c>
      <c r="L38" s="520">
        <f t="shared" si="22"/>
        <v>10.35444671426756</v>
      </c>
      <c r="M38" s="520">
        <f t="shared" si="22"/>
        <v>10.506478443685227</v>
      </c>
      <c r="N38" s="520">
        <f t="shared" si="22"/>
        <v>10.647650763858776</v>
      </c>
      <c r="O38" s="520">
        <f t="shared" si="22"/>
        <v>10.555345785283762</v>
      </c>
      <c r="P38" s="520">
        <f t="shared" si="22"/>
        <v>10.729096333189668</v>
      </c>
      <c r="Q38" s="520">
        <f t="shared" si="22"/>
        <v>10.94628451807205</v>
      </c>
      <c r="R38" s="520">
        <f t="shared" si="22"/>
        <v>10.6042131268823</v>
      </c>
      <c r="S38" s="520">
        <f t="shared" si="22"/>
        <v>10.495619034441107</v>
      </c>
      <c r="T38" s="520">
        <f t="shared" si="22"/>
        <v>10.685658696213192</v>
      </c>
      <c r="U38" s="520">
        <f t="shared" si="22"/>
        <v>10.881128062607337</v>
      </c>
      <c r="V38" s="520">
        <f t="shared" si="22"/>
        <v>11.196050930686789</v>
      </c>
      <c r="W38" s="520">
        <f t="shared" si="22"/>
        <v>11.391520297080932</v>
      </c>
      <c r="X38" s="520">
        <f t="shared" si="22"/>
        <v>11.630427300451553</v>
      </c>
      <c r="Y38" s="520">
        <f t="shared" si="22"/>
        <v>11.825896666845699</v>
      </c>
      <c r="Z38" s="520">
        <f t="shared" si="22"/>
        <v>12.021366033239842</v>
      </c>
      <c r="AA38" s="520">
        <f t="shared" si="22"/>
        <v>12.216835399633986</v>
      </c>
      <c r="AB38" s="520">
        <f t="shared" si="22"/>
        <v>12.450312698382545</v>
      </c>
      <c r="AC38" s="520">
        <f t="shared" si="22"/>
        <v>13.248479277825298</v>
      </c>
      <c r="AD38" s="520">
        <f t="shared" si="22"/>
        <v>14.643913365694605</v>
      </c>
      <c r="AE38" s="520">
        <f t="shared" si="22"/>
        <v>14.904539187553462</v>
      </c>
      <c r="AF38" s="520">
        <f t="shared" si="22"/>
        <v>15.208602646388798</v>
      </c>
      <c r="AG38" s="520">
        <f t="shared" si="22"/>
        <v>15.507236400602071</v>
      </c>
      <c r="AH38" s="520">
        <f t="shared" si="22"/>
        <v>15.805870154815347</v>
      </c>
    </row>
    <row r="39" spans="1:34" ht="14.25" customHeight="1" x14ac:dyDescent="0.2">
      <c r="A39" s="518" t="s">
        <v>129</v>
      </c>
      <c r="B39" s="519">
        <f t="shared" ref="B39:AG39" si="23">SUM(B35,B38)</f>
        <v>14.007142063969361</v>
      </c>
      <c r="C39" s="519">
        <f t="shared" si="23"/>
        <v>14.007142063969361</v>
      </c>
      <c r="D39" s="519">
        <f t="shared" si="23"/>
        <v>15.38884190182184</v>
      </c>
      <c r="E39" s="519">
        <f t="shared" si="23"/>
        <v>15.705091238601195</v>
      </c>
      <c r="F39" s="519">
        <f t="shared" si="23"/>
        <v>15.766758655718482</v>
      </c>
      <c r="G39" s="519">
        <f t="shared" si="23"/>
        <v>15.828426072835763</v>
      </c>
      <c r="H39" s="519">
        <f t="shared" si="23"/>
        <v>16.027064500653985</v>
      </c>
      <c r="I39" s="519">
        <f t="shared" si="23"/>
        <v>16.225088730897482</v>
      </c>
      <c r="J39" s="519">
        <f t="shared" si="23"/>
        <v>16.483453909558357</v>
      </c>
      <c r="K39" s="519">
        <f t="shared" si="23"/>
        <v>16.687522041998637</v>
      </c>
      <c r="L39" s="519">
        <f t="shared" si="23"/>
        <v>16.948344010958408</v>
      </c>
      <c r="M39" s="519">
        <f t="shared" si="23"/>
        <v>17.203122077721396</v>
      </c>
      <c r="N39" s="519">
        <f t="shared" si="23"/>
        <v>17.350338300091728</v>
      </c>
      <c r="O39" s="519">
        <f t="shared" si="23"/>
        <v>17.270121125910279</v>
      </c>
      <c r="P39" s="519">
        <f t="shared" si="23"/>
        <v>17.564749717751855</v>
      </c>
      <c r="Q39" s="519">
        <f t="shared" si="23"/>
        <v>17.842376924602071</v>
      </c>
      <c r="R39" s="519">
        <f t="shared" si="23"/>
        <v>17.421734804854136</v>
      </c>
      <c r="S39" s="519">
        <f t="shared" si="23"/>
        <v>17.512589484906801</v>
      </c>
      <c r="T39" s="519">
        <f t="shared" si="23"/>
        <v>17.750980364253156</v>
      </c>
      <c r="U39" s="519">
        <f t="shared" si="23"/>
        <v>18.067327774582971</v>
      </c>
      <c r="V39" s="519">
        <f t="shared" si="23"/>
        <v>18.509172588794875</v>
      </c>
      <c r="W39" s="519">
        <f t="shared" si="23"/>
        <v>18.831563901321474</v>
      </c>
      <c r="X39" s="519">
        <f t="shared" si="23"/>
        <v>19.191348948627766</v>
      </c>
      <c r="Y39" s="519">
        <f t="shared" si="23"/>
        <v>19.513740261154368</v>
      </c>
      <c r="Z39" s="519">
        <f t="shared" si="23"/>
        <v>19.830087671484179</v>
      </c>
      <c r="AA39" s="519">
        <f t="shared" si="23"/>
        <v>20.152478984010777</v>
      </c>
      <c r="AB39" s="519">
        <f t="shared" si="23"/>
        <v>20.531009935482142</v>
      </c>
      <c r="AC39" s="519">
        <f t="shared" si="23"/>
        <v>21.480274069844484</v>
      </c>
      <c r="AD39" s="519">
        <f t="shared" si="23"/>
        <v>23.413615453227528</v>
      </c>
      <c r="AE39" s="519">
        <f t="shared" si="23"/>
        <v>23.825338830005975</v>
      </c>
      <c r="AF39" s="519">
        <f t="shared" si="23"/>
        <v>24.135446191038092</v>
      </c>
      <c r="AG39" s="519">
        <f t="shared" si="23"/>
        <v>24.603309206761303</v>
      </c>
      <c r="AH39" s="519">
        <f>SUM(AH35,AH38)</f>
        <v>25.07117222248452</v>
      </c>
    </row>
    <row r="40" spans="1:34" ht="14.25" customHeight="1" x14ac:dyDescent="0.2">
      <c r="A40" s="518" t="s">
        <v>130</v>
      </c>
      <c r="B40" s="521">
        <f>IF(B32=0,0,B39/B32)</f>
        <v>1.4512541315273771E-2</v>
      </c>
      <c r="C40" s="521">
        <f>IF(C32=0,0,C39/C32)</f>
        <v>1.4089845937159002E-2</v>
      </c>
      <c r="D40" s="521">
        <f t="shared" ref="D40:AG40" si="24">IF(D32=0,0,D39/D32)</f>
        <v>1.5041599066570526E-2</v>
      </c>
      <c r="E40" s="521">
        <f t="shared" si="24"/>
        <v>1.5066439916961128E-2</v>
      </c>
      <c r="F40" s="521">
        <f t="shared" si="24"/>
        <v>1.4850588711626464E-2</v>
      </c>
      <c r="G40" s="521">
        <f t="shared" si="24"/>
        <v>1.4642446477910891E-2</v>
      </c>
      <c r="H40" s="521">
        <f t="shared" si="24"/>
        <v>1.4566092687176525E-2</v>
      </c>
      <c r="I40" s="521">
        <f t="shared" si="24"/>
        <v>1.4491823200632263E-2</v>
      </c>
      <c r="J40" s="521">
        <f t="shared" si="24"/>
        <v>1.4473052800698178E-2</v>
      </c>
      <c r="K40" s="521">
        <f t="shared" si="24"/>
        <v>1.4408027941391146E-2</v>
      </c>
      <c r="L40" s="521">
        <f t="shared" si="24"/>
        <v>1.4276314111248125E-2</v>
      </c>
      <c r="M40" s="521">
        <f t="shared" si="24"/>
        <v>1.4145902546434663E-2</v>
      </c>
      <c r="N40" s="521">
        <f t="shared" si="24"/>
        <v>1.3935166836308336E-2</v>
      </c>
      <c r="O40" s="521">
        <f t="shared" si="24"/>
        <v>1.3555495216294015E-2</v>
      </c>
      <c r="P40" s="521">
        <f t="shared" si="24"/>
        <v>1.3480379948561895E-2</v>
      </c>
      <c r="Q40" s="521">
        <f t="shared" si="24"/>
        <v>1.3395766198892423E-2</v>
      </c>
      <c r="R40" s="521">
        <f t="shared" si="24"/>
        <v>1.2801658027954096E-2</v>
      </c>
      <c r="S40" s="521">
        <f t="shared" si="24"/>
        <v>1.2600326858476157E-2</v>
      </c>
      <c r="T40" s="521">
        <f t="shared" si="24"/>
        <v>1.2511199364292196E-2</v>
      </c>
      <c r="U40" s="521">
        <f t="shared" si="24"/>
        <v>1.2479483184971964E-2</v>
      </c>
      <c r="V40" s="521">
        <f t="shared" si="24"/>
        <v>1.2533994792704886E-2</v>
      </c>
      <c r="W40" s="521">
        <f t="shared" si="24"/>
        <v>1.2507074179666816E-2</v>
      </c>
      <c r="X40" s="521">
        <f t="shared" si="24"/>
        <v>1.2505536079260738E-2</v>
      </c>
      <c r="Y40" s="521">
        <f t="shared" si="24"/>
        <v>1.248013953917675E-2</v>
      </c>
      <c r="Z40" s="521">
        <f t="shared" si="24"/>
        <v>1.2451871372978636E-2</v>
      </c>
      <c r="AA40" s="521">
        <f t="shared" si="24"/>
        <v>1.2428340150509825E-2</v>
      </c>
      <c r="AB40" s="521">
        <f t="shared" si="24"/>
        <v>1.2367325804563786E-2</v>
      </c>
      <c r="AC40" s="521">
        <f t="shared" si="24"/>
        <v>1.2645065585047275E-2</v>
      </c>
      <c r="AD40" s="521">
        <f t="shared" si="24"/>
        <v>1.3476897081546828E-2</v>
      </c>
      <c r="AE40" s="521">
        <f t="shared" si="24"/>
        <v>1.3713885409385158E-2</v>
      </c>
      <c r="AF40" s="521">
        <f t="shared" si="24"/>
        <v>1.3892383471643364E-2</v>
      </c>
      <c r="AG40" s="521">
        <f t="shared" si="24"/>
        <v>1.4161685823676939E-2</v>
      </c>
      <c r="AH40" s="521">
        <f>IF(AH32=0,0,AH39/AH32)</f>
        <v>1.4430988175710518E-2</v>
      </c>
    </row>
    <row r="41" spans="1:34" s="311" customFormat="1" ht="12.75" x14ac:dyDescent="0.2"/>
  </sheetData>
  <phoneticPr fontId="2" type="noConversion"/>
  <printOptions horizontalCentered="1"/>
  <pageMargins left="0.59027777777777779" right="0.59027777777777779" top="0.75" bottom="0.88888888888888884" header="0.51180555555555551" footer="0.75"/>
  <pageSetup paperSize="9" scale="61" firstPageNumber="0" orientation="landscape" horizontalDpi="300" verticalDpi="300" r:id="rId1"/>
  <headerFooter alignWithMargins="0">
    <oddFooter>&amp;L&amp;A&amp;R&amp;P</oddFooter>
  </headerFooter>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17</vt:i4>
      </vt:variant>
    </vt:vector>
  </HeadingPairs>
  <TitlesOfParts>
    <vt:vector size="32" baseType="lpstr">
      <vt:lpstr>Datu ievade</vt:lpstr>
      <vt:lpstr>gadu šķirošana</vt:lpstr>
      <vt:lpstr>Kopējie pieņēmumi</vt:lpstr>
      <vt:lpstr>Aprēķini</vt:lpstr>
      <vt:lpstr>Līdzfinansējums</vt:lpstr>
      <vt:lpstr>Naudas plūsma</vt:lpstr>
      <vt:lpstr>Saimnieciskas pamatdarbibas NP</vt:lpstr>
      <vt:lpstr>Ilgtermina saistibas</vt:lpstr>
      <vt:lpstr>Iedzivotaju maksatspeja</vt:lpstr>
      <vt:lpstr>Projekta naudas plūsma</vt:lpstr>
      <vt:lpstr>Ekonomiskā analīze</vt:lpstr>
      <vt:lpstr>Jutīguma analīze_IIA</vt:lpstr>
      <vt:lpstr>Jutīguma analīze_EA</vt:lpstr>
      <vt:lpstr>Kritēriji</vt:lpstr>
      <vt:lpstr>Compatibility Report</vt:lpstr>
      <vt:lpstr>Excel_BuiltIn_Print_Area_2</vt:lpstr>
      <vt:lpstr>Excel_BuiltIn_Print_Area_8</vt:lpstr>
      <vt:lpstr>Excel_BuiltIn_Print_Titles_9</vt:lpstr>
      <vt:lpstr>Aprēķini!Print_Area</vt:lpstr>
      <vt:lpstr>'Datu ievade'!Print_Area</vt:lpstr>
      <vt:lpstr>'Ekonomiskā analīze'!Print_Area</vt:lpstr>
      <vt:lpstr>'Iedzivotaju maksatspeja'!Print_Area</vt:lpstr>
      <vt:lpstr>'Ilgtermina saistibas'!Print_Area</vt:lpstr>
      <vt:lpstr>'Jutīguma analīze_EA'!Print_Area</vt:lpstr>
      <vt:lpstr>'Jutīguma analīze_IIA'!Print_Area</vt:lpstr>
      <vt:lpstr>Līdzfinansējums!Print_Area</vt:lpstr>
      <vt:lpstr>'Naudas plūsma'!Print_Area</vt:lpstr>
      <vt:lpstr>'Saimnieciskas pamatdarbibas NP'!Print_Area</vt:lpstr>
      <vt:lpstr>Aprēķini!Print_Titles</vt:lpstr>
      <vt:lpstr>'Ilgtermina saistibas'!Print_Titles</vt:lpstr>
      <vt:lpstr>'Naudas plūsma'!Print_Titles</vt:lpstr>
      <vt:lpstr>'Saimnieciskas pamatdarbibas NP'!Print_Titles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Inese</dc:creator>
  <cp:lastModifiedBy>Dzintra Matisone</cp:lastModifiedBy>
  <cp:lastPrinted>2018-07-03T07:42:31Z</cp:lastPrinted>
  <dcterms:created xsi:type="dcterms:W3CDTF">2009-03-01T09:15:33Z</dcterms:created>
  <dcterms:modified xsi:type="dcterms:W3CDTF">2018-07-04T09:45:05Z</dcterms:modified>
</cp:coreProperties>
</file>